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drawings/drawing2.xml" ContentType="application/vnd.openxmlformats-officedocument.drawing+xml"/>
  <Override PartName="/xl/ink/ink5.xml" ContentType="application/inkml+xml"/>
  <Override PartName="/xl/ink/ink6.xml" ContentType="application/inkml+xml"/>
  <Override PartName="/xl/ink/ink7.xml" ContentType="application/inkml+xml"/>
  <Override PartName="/xl/ink/ink8.xml" ContentType="application/inkml+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jofga\Documents\John F\2021\Plan de acción\2021-T4\"/>
    </mc:Choice>
  </mc:AlternateContent>
  <xr:revisionPtr revIDLastSave="0" documentId="13_ncr:1_{759B623B-8F1F-4635-8573-87EF1501EC97}" xr6:coauthVersionLast="47" xr6:coauthVersionMax="47" xr10:uidLastSave="{00000000-0000-0000-0000-000000000000}"/>
  <bookViews>
    <workbookView xWindow="-120" yWindow="-120" windowWidth="20730" windowHeight="11310" tabRatio="915" activeTab="4" xr2:uid="{00000000-000D-0000-FFFF-FFFF00000000}"/>
  </bookViews>
  <sheets>
    <sheet name="PAI 2021 - V4" sheetId="1" r:id="rId1"/>
    <sheet name="Matriz de seguimiento" sheetId="17" r:id="rId2"/>
    <sheet name="LISTAS" sheetId="19" state="hidden" r:id="rId3"/>
    <sheet name="HV" sheetId="21" state="hidden" r:id="rId4"/>
    <sheet name="Resultados" sheetId="20" r:id="rId5"/>
    <sheet name="AN-01 - Plan MIPG (PFI)" sheetId="22" state="hidden" r:id="rId6"/>
    <sheet name="AN-02 - Plan de Capacitaciones" sheetId="3" state="hidden" r:id="rId7"/>
    <sheet name="AN-03 - Bienestar" sheetId="4" state="hidden" r:id="rId8"/>
    <sheet name="AN-04 - Plan SG-SST" sheetId="5" state="hidden" r:id="rId9"/>
    <sheet name="AN-05 - Plan Estratégico RR.HH" sheetId="6" state="hidden" r:id="rId10"/>
    <sheet name="AN-06 - PINAR" sheetId="8" state="hidden" r:id="rId11"/>
    <sheet name="AN-07-PETI" sheetId="14" state="hidden" r:id="rId12"/>
    <sheet name="AN-08-Plan SI" sheetId="15" state="hidden" r:id="rId13"/>
    <sheet name="AN-09-Plan Tratamiento RSI" sheetId="16" state="hidden" r:id="rId14"/>
    <sheet name="ODS" sheetId="11" state="hidden" r:id="rId15"/>
    <sheet name="PDD" sheetId="9" state="hidden" r:id="rId16"/>
    <sheet name="MIPG" sheetId="10" state="hidden" r:id="rId17"/>
    <sheet name="Matriz" sheetId="12" state="hidden" r:id="rId18"/>
  </sheets>
  <externalReferences>
    <externalReference r:id="rId19"/>
  </externalReferences>
  <definedNames>
    <definedName name="_xlnm._FilterDatabase" localSheetId="5" hidden="1">'AN-01 - Plan MIPG (PFI)'!$A$10:$V$55</definedName>
    <definedName name="_xlnm._FilterDatabase" localSheetId="17" hidden="1">Matriz!$A$2:$H$43</definedName>
    <definedName name="_xlnm._FilterDatabase" localSheetId="1" hidden="1">'Matriz de seguimiento'!$A$9:$BJ$57</definedName>
    <definedName name="_xlnm._FilterDatabase" localSheetId="0" hidden="1">'PAI 2021 - V4'!$A$8:$AK$57</definedName>
    <definedName name="_xlnm._FilterDatabase" localSheetId="15" hidden="1">PDD!$A$3:$C$38</definedName>
    <definedName name="_xlnm.Print_Area" localSheetId="1">'Matriz de seguimiento'!$A$1:$BE$66</definedName>
    <definedName name="Áreas">LISTAS!$B$3:$B$19</definedName>
    <definedName name="Comunicaciones">LISTAS!$D$3:$D$9</definedName>
    <definedName name="Contenidos_Ciudadanía">LISTAS!$E$3:$E$6</definedName>
    <definedName name="Control_Interno">LISTAS!$S$3:$S$6</definedName>
    <definedName name="Digital">LISTAS!$G$3:$G$5</definedName>
    <definedName name="Gestión_Ambiental">LISTAS!$N$3:$N$4</definedName>
    <definedName name="Gestión_Documental">LISTAS!$K$3:$K$4</definedName>
    <definedName name="OBJ_PROCESO" localSheetId="5">#REF!</definedName>
    <definedName name="OBJ_PROCESO" localSheetId="11">#REF!</definedName>
    <definedName name="OBJ_PROCESO" localSheetId="12">#REF!</definedName>
    <definedName name="OBJ_PROCESO" localSheetId="13">#REF!</definedName>
    <definedName name="OBJ_PROCESO">#REF!</definedName>
    <definedName name="OBJET" localSheetId="5">#REF!</definedName>
    <definedName name="OBJET" localSheetId="11">#REF!</definedName>
    <definedName name="OBJET" localSheetId="12">#REF!</definedName>
    <definedName name="OBJET" localSheetId="13">#REF!</definedName>
    <definedName name="OBJET">#REF!</definedName>
    <definedName name="Objetivos" localSheetId="5">'[1]PAI 2021 - V1'!$E$60:$E$65</definedName>
    <definedName name="Objetivos" localSheetId="17">Matriz!$B$48:$B$53</definedName>
    <definedName name="Objetivos">'PAI 2021 - V4'!$E$61:$E$66</definedName>
    <definedName name="Planeación">LISTAS!$C$3:$C$8</definedName>
    <definedName name="Programación">LISTAS!$H$3:$H$4</definedName>
    <definedName name="Proyectos_Estratégicos">LISTAS!$F$3:$F$5</definedName>
    <definedName name="resultados" localSheetId="11">#REF!</definedName>
    <definedName name="resultados" localSheetId="12">#REF!</definedName>
    <definedName name="resultados" localSheetId="13">#REF!</definedName>
    <definedName name="resultados">#REF!</definedName>
    <definedName name="Secretaría_General">LISTAS!$Q$3:$Q$8</definedName>
    <definedName name="Servicio_Ciudadano">LISTAS!$R$3:$R$5</definedName>
    <definedName name="Servicios_Administrativos">LISTAS!$L$3:$L$6</definedName>
    <definedName name="Sistemas">LISTAS!$M$3:$M$6</definedName>
    <definedName name="Subdirección_Administrativa">LISTAS!$O$3:$O$4</definedName>
    <definedName name="Subdirección_Financiera">LISTAS!$P$3:$P$10</definedName>
    <definedName name="Talento_Humano">LISTAS!$J$3:$J$8</definedName>
    <definedName name="Técnica">LISTAS!$I$3:$I$4</definedName>
    <definedName name="tipo" localSheetId="5">'[1]PAI 2021 - V1'!$AF$6:$AF$8</definedName>
    <definedName name="tipo" localSheetId="17">Matriz!$H$1:$H$2</definedName>
    <definedName name="tipo">'PAI 2021 - V4'!$AK$6:$AK$8</definedName>
    <definedName name="_xlnm.Print_Titles" localSheetId="5">'AN-01 - Plan MIPG (PFI)'!$7:$10</definedName>
    <definedName name="_xlnm.Print_Titles" localSheetId="1">'Matriz de seguimiento'!$1:$9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U56" i="17" l="1"/>
  <c r="AU57" i="17" l="1"/>
  <c r="AV55" i="17"/>
  <c r="AX54" i="17" l="1"/>
  <c r="AW54" i="17"/>
  <c r="AV54" i="17"/>
  <c r="AV53" i="17"/>
  <c r="AS52" i="17" l="1"/>
  <c r="AV51" i="17"/>
  <c r="AV50" i="17"/>
  <c r="AV48" i="17"/>
  <c r="AV49" i="17"/>
  <c r="AV47" i="17"/>
  <c r="AV46" i="17"/>
  <c r="AX45" i="17"/>
  <c r="AW45" i="17"/>
  <c r="AV45" i="17"/>
  <c r="AX44" i="17"/>
  <c r="AW44" i="17"/>
  <c r="AV44" i="17"/>
  <c r="AX43" i="17"/>
  <c r="AW43" i="17"/>
  <c r="AV43" i="17"/>
  <c r="AV42" i="17"/>
  <c r="AV41" i="17" l="1"/>
  <c r="AV40" i="17"/>
  <c r="AV39" i="17"/>
  <c r="AV38" i="17"/>
  <c r="AV37" i="17"/>
  <c r="AV35" i="17"/>
  <c r="AV34" i="17"/>
  <c r="AV33" i="17"/>
  <c r="AV32" i="17"/>
  <c r="AV31" i="17"/>
  <c r="AV30" i="17"/>
  <c r="AV29" i="17"/>
  <c r="AV11" i="17"/>
  <c r="AV26" i="17" l="1"/>
  <c r="AV25" i="17"/>
  <c r="AW36" i="17" l="1"/>
  <c r="AX36" i="17"/>
  <c r="AV36" i="17"/>
  <c r="AV23" i="17"/>
  <c r="AV28" i="17"/>
  <c r="AV27" i="17"/>
  <c r="AV24" i="17"/>
  <c r="AV22" i="17"/>
  <c r="AV21" i="17" l="1"/>
  <c r="AV20" i="17"/>
  <c r="AV19" i="17"/>
  <c r="AV18" i="17"/>
  <c r="AV17" i="17"/>
  <c r="AV16" i="17"/>
  <c r="AV15" i="17"/>
  <c r="AV14" i="17"/>
  <c r="AV13" i="17"/>
  <c r="AX12" i="17"/>
  <c r="AW12" i="17"/>
  <c r="AV12" i="17"/>
  <c r="AV10" i="17"/>
  <c r="W50" i="1"/>
  <c r="X50" i="1" s="1"/>
  <c r="Y50" i="1" s="1"/>
  <c r="Z50" i="1" s="1"/>
  <c r="X49" i="1"/>
  <c r="Y49" i="1" s="1"/>
  <c r="Z49" i="1" s="1"/>
  <c r="X41" i="1"/>
  <c r="Y41" i="1" s="1"/>
  <c r="Z41" i="1" s="1"/>
  <c r="W38" i="1"/>
  <c r="X37" i="1"/>
  <c r="Y37" i="1" s="1"/>
  <c r="Z37" i="1" s="1"/>
  <c r="Y33" i="1"/>
  <c r="X33" i="1"/>
  <c r="W33" i="1"/>
  <c r="W29" i="1"/>
  <c r="X20" i="1"/>
  <c r="Y20" i="1" s="1"/>
  <c r="Z20" i="1" s="1"/>
  <c r="X19" i="1"/>
  <c r="Y19" i="1" s="1"/>
  <c r="Z19" i="1" s="1"/>
  <c r="X18" i="1"/>
  <c r="Y18" i="1" s="1"/>
  <c r="Z18" i="1" s="1"/>
  <c r="X17" i="1"/>
  <c r="Y17" i="1" s="1"/>
  <c r="Z17" i="1" s="1"/>
  <c r="X16" i="1"/>
  <c r="Y16" i="1" s="1"/>
  <c r="Z16" i="1" s="1"/>
  <c r="X15" i="1"/>
  <c r="Y15" i="1" s="1"/>
  <c r="Z15" i="1" s="1"/>
  <c r="X10" i="1"/>
  <c r="Y10" i="1" s="1"/>
  <c r="Z10" i="1" s="1"/>
  <c r="AP32" i="17" l="1"/>
  <c r="C11" i="20"/>
  <c r="C12" i="20"/>
  <c r="C13" i="20"/>
  <c r="C14" i="20"/>
  <c r="AU12" i="17"/>
  <c r="AM27" i="17" l="1"/>
  <c r="AP27" i="17"/>
  <c r="AS27" i="17"/>
  <c r="AS35" i="17"/>
  <c r="AP35" i="17"/>
  <c r="AM35" i="17"/>
  <c r="AP34" i="17"/>
  <c r="AM34" i="17"/>
  <c r="AS34" i="17"/>
  <c r="AS33" i="17" l="1"/>
  <c r="AP33" i="17"/>
  <c r="AM33" i="17"/>
  <c r="AS40" i="17"/>
  <c r="AS39" i="17"/>
  <c r="AS38" i="17"/>
  <c r="AS37" i="17"/>
  <c r="AS11" i="17"/>
  <c r="AS41" i="17" l="1"/>
  <c r="AS32" i="17" l="1"/>
  <c r="AP31" i="17"/>
  <c r="AS31" i="17"/>
  <c r="AS29" i="17" l="1"/>
  <c r="AP29" i="17"/>
  <c r="AS30" i="17"/>
  <c r="AS49" i="17" l="1"/>
  <c r="AS47" i="17"/>
  <c r="AS46" i="17"/>
  <c r="AU45" i="17"/>
  <c r="AT45" i="17"/>
  <c r="AS45" i="17"/>
  <c r="AR45" i="17"/>
  <c r="AQ45" i="17"/>
  <c r="AP45" i="17"/>
  <c r="AU44" i="17"/>
  <c r="AT44" i="17"/>
  <c r="AS44" i="17"/>
  <c r="AU43" i="17"/>
  <c r="AT43" i="17"/>
  <c r="AS43" i="17"/>
  <c r="AS42" i="17"/>
  <c r="AU54" i="17" l="1"/>
  <c r="AT54" i="17"/>
  <c r="AS54" i="17"/>
  <c r="AS53" i="17"/>
  <c r="AS51" i="17"/>
  <c r="AS50" i="17"/>
  <c r="AS48" i="17"/>
  <c r="AQ57" i="17"/>
  <c r="AQ56" i="17"/>
  <c r="AS55" i="17"/>
  <c r="AU36" i="17" l="1"/>
  <c r="AT36" i="17"/>
  <c r="AS36" i="17"/>
  <c r="AS28" i="17" l="1"/>
  <c r="AS24" i="17"/>
  <c r="AS23" i="17"/>
  <c r="AS22" i="17"/>
  <c r="AS26" i="17" l="1"/>
  <c r="AS25" i="17"/>
  <c r="AS21" i="17" l="1"/>
  <c r="AS20" i="17"/>
  <c r="AS19" i="17"/>
  <c r="AS18" i="17"/>
  <c r="AS17" i="17"/>
  <c r="AS16" i="17"/>
  <c r="AS15" i="17"/>
  <c r="AS14" i="17"/>
  <c r="AS13" i="17"/>
  <c r="AT12" i="17"/>
  <c r="AS12" i="17"/>
  <c r="AS10" i="17" l="1"/>
  <c r="I14" i="20" l="1"/>
  <c r="AP49" i="17"/>
  <c r="AM49" i="17"/>
  <c r="AP46" i="17"/>
  <c r="AO45" i="17"/>
  <c r="AN45" i="17"/>
  <c r="AM45" i="17"/>
  <c r="AR44" i="17"/>
  <c r="AQ44" i="17"/>
  <c r="AP44" i="17"/>
  <c r="AR43" i="17"/>
  <c r="AQ43" i="17"/>
  <c r="AP43" i="17"/>
  <c r="AP42" i="17"/>
  <c r="AP41" i="17" l="1"/>
  <c r="AM41" i="17"/>
  <c r="AP40" i="17"/>
  <c r="AM40" i="17"/>
  <c r="AP39" i="17"/>
  <c r="AM39" i="17"/>
  <c r="AP38" i="17"/>
  <c r="AM38" i="17"/>
  <c r="AM32" i="17"/>
  <c r="AP30" i="17"/>
  <c r="AP11" i="17"/>
  <c r="AR54" i="17" l="1"/>
  <c r="AQ54" i="17"/>
  <c r="AP54" i="17"/>
  <c r="AP53" i="17"/>
  <c r="AM52" i="17" l="1"/>
  <c r="AP48" i="17"/>
  <c r="AM48" i="17"/>
  <c r="AM57" i="17" l="1"/>
  <c r="AM56" i="17"/>
  <c r="AP55" i="17" l="1"/>
  <c r="AQ36" i="17" l="1"/>
  <c r="AR36" i="17"/>
  <c r="AP36" i="17"/>
  <c r="AP28" i="17"/>
  <c r="AP26" i="17"/>
  <c r="AM26" i="17"/>
  <c r="AP25" i="17"/>
  <c r="AP24" i="17"/>
  <c r="AP23" i="17"/>
  <c r="AP22" i="17"/>
  <c r="AP21" i="17" l="1"/>
  <c r="AP20" i="17"/>
  <c r="AP19" i="17"/>
  <c r="AP18" i="17"/>
  <c r="AP17" i="17"/>
  <c r="AP16" i="17"/>
  <c r="AP14" i="17"/>
  <c r="AP13" i="17"/>
  <c r="AM13" i="17"/>
  <c r="AR12" i="17" l="1"/>
  <c r="AQ12" i="17"/>
  <c r="AP12" i="17"/>
  <c r="AP10" i="17" l="1"/>
  <c r="AP51" i="17"/>
  <c r="AP50" i="17"/>
  <c r="AP47" i="17"/>
  <c r="AP37" i="17"/>
  <c r="AP15" i="17"/>
  <c r="V55" i="22"/>
  <c r="V54" i="22"/>
  <c r="V53" i="22"/>
  <c r="V52" i="22"/>
  <c r="V51" i="22"/>
  <c r="V50" i="22"/>
  <c r="I49" i="22"/>
  <c r="T49" i="22" s="1"/>
  <c r="V48" i="22"/>
  <c r="V47" i="22"/>
  <c r="V46" i="22"/>
  <c r="I45" i="22"/>
  <c r="U45" i="22" s="1"/>
  <c r="V44" i="22"/>
  <c r="V43" i="22"/>
  <c r="V42" i="22"/>
  <c r="V41" i="22"/>
  <c r="I40" i="22"/>
  <c r="O40" i="22" s="1"/>
  <c r="V39" i="22"/>
  <c r="V38" i="22"/>
  <c r="I37" i="22"/>
  <c r="O37" i="22" s="1"/>
  <c r="V36" i="22"/>
  <c r="V35" i="22"/>
  <c r="V34" i="22"/>
  <c r="V33" i="22"/>
  <c r="V32" i="22"/>
  <c r="V31" i="22"/>
  <c r="V30" i="22"/>
  <c r="V29" i="22"/>
  <c r="V28" i="22"/>
  <c r="V27" i="22"/>
  <c r="I26" i="22"/>
  <c r="O26" i="22" s="1"/>
  <c r="V25" i="22"/>
  <c r="V24" i="22"/>
  <c r="V23" i="22"/>
  <c r="V22" i="22"/>
  <c r="V21" i="22"/>
  <c r="I20" i="22"/>
  <c r="R20" i="22" s="1"/>
  <c r="V19" i="22"/>
  <c r="V18" i="22"/>
  <c r="V17" i="22"/>
  <c r="V16" i="22"/>
  <c r="V15" i="22"/>
  <c r="V14" i="22"/>
  <c r="I13" i="22"/>
  <c r="N13" i="22" s="1"/>
  <c r="V12" i="22"/>
  <c r="V11" i="22"/>
  <c r="O13" i="22" l="1"/>
  <c r="P49" i="22"/>
  <c r="U49" i="22"/>
  <c r="P13" i="22"/>
  <c r="P37" i="22"/>
  <c r="P45" i="22"/>
  <c r="P26" i="22"/>
  <c r="P40" i="22"/>
  <c r="U20" i="22"/>
  <c r="M20" i="22"/>
  <c r="M49" i="22"/>
  <c r="K20" i="22"/>
  <c r="L20" i="22"/>
  <c r="N20" i="22"/>
  <c r="O20" i="22"/>
  <c r="P20" i="22"/>
  <c r="P10" i="22" s="1"/>
  <c r="N45" i="22"/>
  <c r="N49" i="22"/>
  <c r="T20" i="22"/>
  <c r="S20" i="22"/>
  <c r="O45" i="22"/>
  <c r="O49" i="22"/>
  <c r="R37" i="22"/>
  <c r="J40" i="22"/>
  <c r="R13" i="22"/>
  <c r="K26" i="22"/>
  <c r="S26" i="22"/>
  <c r="K37" i="22"/>
  <c r="K13" i="22"/>
  <c r="S13" i="22"/>
  <c r="M40" i="22"/>
  <c r="J49" i="22"/>
  <c r="M13" i="22"/>
  <c r="U13" i="22"/>
  <c r="Q20" i="22"/>
  <c r="N26" i="22"/>
  <c r="N37" i="22"/>
  <c r="N40" i="22"/>
  <c r="L45" i="22"/>
  <c r="T45" i="22"/>
  <c r="K49" i="22"/>
  <c r="S49" i="22"/>
  <c r="Q26" i="22"/>
  <c r="Q37" i="22"/>
  <c r="Q40" i="22"/>
  <c r="I10" i="22"/>
  <c r="Q13" i="22"/>
  <c r="J26" i="22"/>
  <c r="R26" i="22"/>
  <c r="J37" i="22"/>
  <c r="R40" i="22"/>
  <c r="J13" i="22"/>
  <c r="S37" i="22"/>
  <c r="K40" i="22"/>
  <c r="S40" i="22"/>
  <c r="Q45" i="22"/>
  <c r="L26" i="22"/>
  <c r="T26" i="22"/>
  <c r="L37" i="22"/>
  <c r="T37" i="22"/>
  <c r="L40" i="22"/>
  <c r="T40" i="22"/>
  <c r="J45" i="22"/>
  <c r="R45" i="22"/>
  <c r="Q49" i="22"/>
  <c r="L13" i="22"/>
  <c r="T13" i="22"/>
  <c r="M26" i="22"/>
  <c r="U26" i="22"/>
  <c r="M37" i="22"/>
  <c r="U37" i="22"/>
  <c r="U40" i="22"/>
  <c r="K45" i="22"/>
  <c r="S45" i="22"/>
  <c r="R49" i="22"/>
  <c r="J20" i="22"/>
  <c r="M45" i="22"/>
  <c r="L49" i="22"/>
  <c r="O10" i="22" l="1"/>
  <c r="V20" i="22"/>
  <c r="K10" i="22"/>
  <c r="N10" i="22"/>
  <c r="V37" i="22"/>
  <c r="M10" i="22"/>
  <c r="R10" i="22"/>
  <c r="V13" i="22"/>
  <c r="J10" i="22"/>
  <c r="T10" i="22"/>
  <c r="U10" i="22"/>
  <c r="V26" i="22"/>
  <c r="V49" i="22"/>
  <c r="V40" i="22"/>
  <c r="L10" i="22"/>
  <c r="V45" i="22"/>
  <c r="Q10" i="22"/>
  <c r="S10" i="22"/>
  <c r="V10" i="22" l="1"/>
  <c r="K25" i="21" l="1"/>
  <c r="B31" i="21"/>
  <c r="B30" i="21"/>
  <c r="D25" i="21"/>
  <c r="D23" i="21"/>
  <c r="D22" i="21"/>
  <c r="D21" i="21"/>
  <c r="D20" i="21"/>
  <c r="D19" i="21"/>
  <c r="D18" i="21"/>
  <c r="D16" i="21"/>
  <c r="D15" i="21"/>
  <c r="D14" i="21"/>
  <c r="K10" i="21"/>
  <c r="F10" i="21"/>
  <c r="A10" i="21"/>
  <c r="I5" i="21"/>
  <c r="C5" i="21"/>
  <c r="N32" i="21" l="1"/>
  <c r="M32" i="21"/>
  <c r="L32" i="21"/>
  <c r="K32" i="21"/>
  <c r="J32" i="21"/>
  <c r="I32" i="21"/>
  <c r="H32" i="21"/>
  <c r="G32" i="21"/>
  <c r="F32" i="21"/>
  <c r="E32" i="21"/>
  <c r="D32" i="21"/>
  <c r="C32" i="21"/>
  <c r="J3" i="21"/>
  <c r="AI51" i="17"/>
  <c r="C4" i="17" l="1"/>
  <c r="C3" i="17"/>
  <c r="O43" i="17"/>
  <c r="O41" i="17"/>
  <c r="V25" i="17"/>
  <c r="U25" i="17"/>
  <c r="AK22" i="17"/>
  <c r="AK21" i="17"/>
  <c r="AK20" i="17"/>
  <c r="AK19" i="17"/>
  <c r="AK18" i="17"/>
  <c r="AK17" i="17"/>
  <c r="AK16" i="17"/>
  <c r="F12" i="20" l="1"/>
  <c r="F13" i="20"/>
  <c r="F11" i="20" l="1"/>
  <c r="F14" i="20"/>
  <c r="C15" i="20"/>
  <c r="D13" i="20" s="1"/>
  <c r="F15" i="20" l="1"/>
  <c r="B10" i="20" s="1"/>
  <c r="C17" i="20" s="1"/>
  <c r="D12" i="20"/>
  <c r="D14" i="20"/>
  <c r="D11" i="20"/>
  <c r="AM47" i="17"/>
  <c r="AM46" i="17"/>
  <c r="AO44" i="17"/>
  <c r="AN44" i="17"/>
  <c r="AM44" i="17"/>
  <c r="AO43" i="17"/>
  <c r="AN43" i="17"/>
  <c r="AM43" i="17"/>
  <c r="AM42" i="17"/>
  <c r="I16" i="20" l="1"/>
  <c r="I18" i="20" s="1"/>
  <c r="I20" i="20" s="1"/>
  <c r="AM37" i="17"/>
  <c r="AM31" i="17"/>
  <c r="AM30" i="17"/>
  <c r="AO54" i="17" l="1"/>
  <c r="AN54" i="17"/>
  <c r="AM54" i="17"/>
  <c r="AM51" i="17" l="1"/>
  <c r="AM50" i="17"/>
  <c r="AM55" i="17" l="1"/>
  <c r="AO36" i="17" l="1"/>
  <c r="AN36" i="17"/>
  <c r="AM36" i="17"/>
  <c r="AM28" i="17" l="1"/>
  <c r="AM22" i="17"/>
  <c r="AM25" i="17"/>
  <c r="AM24" i="17"/>
  <c r="AM23" i="17"/>
  <c r="U23" i="17"/>
  <c r="Q23" i="17"/>
  <c r="P23" i="17"/>
  <c r="O23" i="17"/>
  <c r="N23" i="17"/>
  <c r="M23" i="17"/>
  <c r="K23" i="17"/>
  <c r="I23" i="17"/>
  <c r="H23" i="17"/>
  <c r="G23" i="17"/>
  <c r="F23" i="17"/>
  <c r="E23" i="17"/>
  <c r="D23" i="17"/>
  <c r="C23" i="17"/>
  <c r="B23" i="17"/>
  <c r="A23" i="17"/>
  <c r="AY23" i="17" s="1"/>
  <c r="J23" i="17"/>
  <c r="V23" i="17"/>
  <c r="W23" i="17"/>
  <c r="X23" i="17"/>
  <c r="Y23" i="17"/>
  <c r="Z23" i="17"/>
  <c r="AA23" i="17"/>
  <c r="AB23" i="17"/>
  <c r="AC23" i="17"/>
  <c r="AD23" i="17"/>
  <c r="AE23" i="17"/>
  <c r="AF23" i="17"/>
  <c r="AG23" i="17"/>
  <c r="AH23" i="17"/>
  <c r="AI23" i="17"/>
  <c r="AJ23" i="17"/>
  <c r="AK23" i="17"/>
  <c r="AL23" i="17"/>
  <c r="L23" i="17" l="1"/>
  <c r="AM15" i="17" l="1"/>
  <c r="AM14" i="17"/>
  <c r="AO12" i="17"/>
  <c r="AN12" i="17"/>
  <c r="AM12" i="17"/>
  <c r="AM10" i="17"/>
  <c r="AM21" i="17"/>
  <c r="AM20" i="17"/>
  <c r="AM19" i="17"/>
  <c r="AM18" i="17"/>
  <c r="AM17" i="17"/>
  <c r="AM16" i="17"/>
  <c r="AL36" i="17" l="1"/>
  <c r="AK36" i="17"/>
  <c r="AJ36" i="17"/>
  <c r="AI36" i="17"/>
  <c r="AH36" i="17"/>
  <c r="AG36" i="17"/>
  <c r="AF36" i="17"/>
  <c r="AE36" i="17"/>
  <c r="AD36" i="17"/>
  <c r="AC36" i="17"/>
  <c r="AB36" i="17"/>
  <c r="AA36" i="17"/>
  <c r="Z36" i="17"/>
  <c r="Y36" i="17"/>
  <c r="X36" i="17"/>
  <c r="W36" i="17"/>
  <c r="V36" i="17"/>
  <c r="U36" i="17"/>
  <c r="R36" i="17"/>
  <c r="Q36" i="17"/>
  <c r="P36" i="17"/>
  <c r="O36" i="17"/>
  <c r="N36" i="17"/>
  <c r="M36" i="17"/>
  <c r="K36" i="17"/>
  <c r="J36" i="17"/>
  <c r="H36" i="17"/>
  <c r="I36" i="17"/>
  <c r="G36" i="17"/>
  <c r="F36" i="17"/>
  <c r="E36" i="17"/>
  <c r="D36" i="17"/>
  <c r="C36" i="17"/>
  <c r="B36" i="17"/>
  <c r="A36" i="17"/>
  <c r="AY36" i="17" s="1"/>
  <c r="L36" i="17" l="1"/>
  <c r="AK47" i="17"/>
  <c r="AK46" i="17"/>
  <c r="AK45" i="17"/>
  <c r="AK44" i="17"/>
  <c r="AK43" i="17"/>
  <c r="AJ47" i="17"/>
  <c r="AJ46" i="17"/>
  <c r="AJ45" i="17"/>
  <c r="AJ44" i="17"/>
  <c r="AJ43" i="17"/>
  <c r="AE11" i="17"/>
  <c r="AF11" i="17"/>
  <c r="AG11" i="17"/>
  <c r="AH11" i="17"/>
  <c r="AI11" i="17"/>
  <c r="AJ11" i="17"/>
  <c r="AK11" i="17"/>
  <c r="AL11" i="17"/>
  <c r="AE12" i="17"/>
  <c r="AF12" i="17"/>
  <c r="AG12" i="17"/>
  <c r="AH12" i="17"/>
  <c r="AI12" i="17"/>
  <c r="AJ12" i="17"/>
  <c r="AK12" i="17"/>
  <c r="AL12" i="17"/>
  <c r="AE13" i="17"/>
  <c r="AF13" i="17"/>
  <c r="AG13" i="17"/>
  <c r="AH13" i="17"/>
  <c r="AI13" i="17"/>
  <c r="AJ13" i="17"/>
  <c r="AK13" i="17"/>
  <c r="AL13" i="17"/>
  <c r="AE14" i="17"/>
  <c r="AF14" i="17"/>
  <c r="AG14" i="17"/>
  <c r="AH14" i="17"/>
  <c r="AI14" i="17"/>
  <c r="AJ14" i="17"/>
  <c r="AK14" i="17"/>
  <c r="AL14" i="17"/>
  <c r="AE15" i="17"/>
  <c r="AF15" i="17"/>
  <c r="AG15" i="17"/>
  <c r="AH15" i="17"/>
  <c r="AI15" i="17"/>
  <c r="AJ15" i="17"/>
  <c r="AK15" i="17"/>
  <c r="AL15" i="17"/>
  <c r="AE16" i="17"/>
  <c r="AF16" i="17"/>
  <c r="AG16" i="17"/>
  <c r="AH16" i="17"/>
  <c r="AI16" i="17"/>
  <c r="AJ16" i="17"/>
  <c r="AL16" i="17"/>
  <c r="AE17" i="17"/>
  <c r="AF17" i="17"/>
  <c r="AG17" i="17"/>
  <c r="AH17" i="17"/>
  <c r="AI17" i="17"/>
  <c r="AJ17" i="17"/>
  <c r="AL17" i="17"/>
  <c r="AE18" i="17"/>
  <c r="AF18" i="17"/>
  <c r="AG18" i="17"/>
  <c r="AH18" i="17"/>
  <c r="AI18" i="17"/>
  <c r="AJ18" i="17"/>
  <c r="AL18" i="17"/>
  <c r="AE19" i="17"/>
  <c r="AF19" i="17"/>
  <c r="AG19" i="17"/>
  <c r="AH19" i="17"/>
  <c r="AI19" i="17"/>
  <c r="AJ19" i="17"/>
  <c r="AL19" i="17"/>
  <c r="AE20" i="17"/>
  <c r="AF20" i="17"/>
  <c r="AG20" i="17"/>
  <c r="AH20" i="17"/>
  <c r="AI20" i="17"/>
  <c r="AJ20" i="17"/>
  <c r="AL20" i="17"/>
  <c r="AE21" i="17"/>
  <c r="AF21" i="17"/>
  <c r="AG21" i="17"/>
  <c r="AH21" i="17"/>
  <c r="AI21" i="17"/>
  <c r="AJ21" i="17"/>
  <c r="AL21" i="17"/>
  <c r="AE22" i="17"/>
  <c r="AF22" i="17"/>
  <c r="AG22" i="17"/>
  <c r="AH22" i="17"/>
  <c r="AI22" i="17"/>
  <c r="AJ22" i="17"/>
  <c r="AL22" i="17"/>
  <c r="AE24" i="17"/>
  <c r="AF24" i="17"/>
  <c r="AG24" i="17"/>
  <c r="AH24" i="17"/>
  <c r="AI24" i="17"/>
  <c r="AJ24" i="17"/>
  <c r="AK24" i="17"/>
  <c r="AL24" i="17"/>
  <c r="AE25" i="17"/>
  <c r="AF25" i="17"/>
  <c r="AG25" i="17"/>
  <c r="AH25" i="17"/>
  <c r="AI25" i="17"/>
  <c r="AJ25" i="17"/>
  <c r="AK25" i="17"/>
  <c r="AL25" i="17"/>
  <c r="AE26" i="17"/>
  <c r="AF26" i="17"/>
  <c r="AG26" i="17"/>
  <c r="AH26" i="17"/>
  <c r="AI26" i="17"/>
  <c r="AJ26" i="17"/>
  <c r="AK26" i="17"/>
  <c r="AL26" i="17"/>
  <c r="AE27" i="17"/>
  <c r="AF27" i="17"/>
  <c r="AG27" i="17"/>
  <c r="AH27" i="17"/>
  <c r="AI27" i="17"/>
  <c r="AJ27" i="17"/>
  <c r="AK27" i="17"/>
  <c r="AL27" i="17"/>
  <c r="AE28" i="17"/>
  <c r="AF28" i="17"/>
  <c r="AG28" i="17"/>
  <c r="AH28" i="17"/>
  <c r="AI28" i="17"/>
  <c r="AJ28" i="17"/>
  <c r="AK28" i="17"/>
  <c r="AL28" i="17"/>
  <c r="AE29" i="17"/>
  <c r="AF29" i="17"/>
  <c r="AG29" i="17"/>
  <c r="AH29" i="17"/>
  <c r="AI29" i="17"/>
  <c r="AJ29" i="17"/>
  <c r="AK29" i="17"/>
  <c r="AL29" i="17"/>
  <c r="AE30" i="17"/>
  <c r="AF30" i="17"/>
  <c r="AG30" i="17"/>
  <c r="AH30" i="17"/>
  <c r="AI30" i="17"/>
  <c r="AJ30" i="17"/>
  <c r="AK30" i="17"/>
  <c r="AL30" i="17"/>
  <c r="AE31" i="17"/>
  <c r="AF31" i="17"/>
  <c r="AG31" i="17"/>
  <c r="AH31" i="17"/>
  <c r="AI31" i="17"/>
  <c r="AJ31" i="17"/>
  <c r="AK31" i="17"/>
  <c r="AL31" i="17"/>
  <c r="AE32" i="17"/>
  <c r="AF32" i="17"/>
  <c r="AG32" i="17"/>
  <c r="AH32" i="17"/>
  <c r="AI32" i="17"/>
  <c r="AJ32" i="17"/>
  <c r="AK32" i="17"/>
  <c r="AL32" i="17"/>
  <c r="AE33" i="17"/>
  <c r="AF33" i="17"/>
  <c r="AG33" i="17"/>
  <c r="AH33" i="17"/>
  <c r="AI33" i="17"/>
  <c r="AJ33" i="17"/>
  <c r="AK33" i="17"/>
  <c r="AL33" i="17"/>
  <c r="AE34" i="17"/>
  <c r="AF34" i="17"/>
  <c r="AG34" i="17"/>
  <c r="AH34" i="17"/>
  <c r="AI34" i="17"/>
  <c r="AJ34" i="17"/>
  <c r="AK34" i="17"/>
  <c r="AL34" i="17"/>
  <c r="AE35" i="17"/>
  <c r="AF35" i="17"/>
  <c r="AG35" i="17"/>
  <c r="AH35" i="17"/>
  <c r="AI35" i="17"/>
  <c r="AJ35" i="17"/>
  <c r="AK35" i="17"/>
  <c r="AL35" i="17"/>
  <c r="AE37" i="17"/>
  <c r="AF37" i="17"/>
  <c r="AG37" i="17"/>
  <c r="AH37" i="17"/>
  <c r="AI37" i="17"/>
  <c r="AJ37" i="17"/>
  <c r="AK37" i="17"/>
  <c r="AL37" i="17"/>
  <c r="AE38" i="17"/>
  <c r="AF38" i="17"/>
  <c r="AG38" i="17"/>
  <c r="AH38" i="17"/>
  <c r="AI38" i="17"/>
  <c r="AJ38" i="17"/>
  <c r="AK38" i="17"/>
  <c r="AL38" i="17"/>
  <c r="AE39" i="17"/>
  <c r="AF39" i="17"/>
  <c r="AG39" i="17"/>
  <c r="AH39" i="17"/>
  <c r="AI39" i="17"/>
  <c r="AJ39" i="17"/>
  <c r="AK39" i="17"/>
  <c r="AL39" i="17"/>
  <c r="AE40" i="17"/>
  <c r="AF40" i="17"/>
  <c r="AG40" i="17"/>
  <c r="AH40" i="17"/>
  <c r="AI40" i="17"/>
  <c r="AJ40" i="17"/>
  <c r="AK40" i="17"/>
  <c r="AL40" i="17"/>
  <c r="AE41" i="17"/>
  <c r="AF41" i="17"/>
  <c r="AG41" i="17"/>
  <c r="AH41" i="17"/>
  <c r="AI41" i="17"/>
  <c r="AJ41" i="17"/>
  <c r="AK41" i="17"/>
  <c r="AL41" i="17"/>
  <c r="AE42" i="17"/>
  <c r="AF42" i="17"/>
  <c r="AG42" i="17"/>
  <c r="AH42" i="17"/>
  <c r="AI42" i="17"/>
  <c r="AJ42" i="17"/>
  <c r="AK42" i="17"/>
  <c r="AL42" i="17"/>
  <c r="AE43" i="17"/>
  <c r="AF43" i="17"/>
  <c r="AG43" i="17"/>
  <c r="AH43" i="17"/>
  <c r="AI43" i="17"/>
  <c r="AL43" i="17"/>
  <c r="AE44" i="17"/>
  <c r="AF44" i="17"/>
  <c r="AG44" i="17"/>
  <c r="AH44" i="17"/>
  <c r="AI44" i="17"/>
  <c r="AL44" i="17"/>
  <c r="AE45" i="17"/>
  <c r="AF45" i="17"/>
  <c r="AG45" i="17"/>
  <c r="AH45" i="17"/>
  <c r="AI45" i="17"/>
  <c r="AL45" i="17"/>
  <c r="AE46" i="17"/>
  <c r="AF46" i="17"/>
  <c r="AG46" i="17"/>
  <c r="AH46" i="17"/>
  <c r="AI46" i="17"/>
  <c r="AL46" i="17"/>
  <c r="AE47" i="17"/>
  <c r="AF47" i="17"/>
  <c r="AG47" i="17"/>
  <c r="AH47" i="17"/>
  <c r="AI47" i="17"/>
  <c r="AL47" i="17"/>
  <c r="AE48" i="17"/>
  <c r="AF48" i="17"/>
  <c r="AG48" i="17"/>
  <c r="AH48" i="17"/>
  <c r="AI48" i="17"/>
  <c r="AJ48" i="17"/>
  <c r="AK48" i="17"/>
  <c r="AL48" i="17"/>
  <c r="AE49" i="17"/>
  <c r="AF49" i="17"/>
  <c r="AG49" i="17"/>
  <c r="AH49" i="17"/>
  <c r="AI49" i="17"/>
  <c r="AJ49" i="17"/>
  <c r="AK49" i="17"/>
  <c r="AL49" i="17"/>
  <c r="AE50" i="17"/>
  <c r="AF50" i="17"/>
  <c r="AG50" i="17"/>
  <c r="AH50" i="17"/>
  <c r="AI50" i="17"/>
  <c r="AJ50" i="17"/>
  <c r="AK50" i="17"/>
  <c r="AL50" i="17"/>
  <c r="AE51" i="17"/>
  <c r="AF51" i="17"/>
  <c r="AG51" i="17"/>
  <c r="AH51" i="17"/>
  <c r="AJ51" i="17"/>
  <c r="AK51" i="17"/>
  <c r="AL51" i="17"/>
  <c r="AE52" i="17"/>
  <c r="AF52" i="17"/>
  <c r="AG52" i="17"/>
  <c r="AH52" i="17"/>
  <c r="AI52" i="17"/>
  <c r="AJ52" i="17"/>
  <c r="AK52" i="17"/>
  <c r="AL52" i="17"/>
  <c r="AE53" i="17"/>
  <c r="AF53" i="17"/>
  <c r="AG53" i="17"/>
  <c r="AH53" i="17"/>
  <c r="AI53" i="17"/>
  <c r="AJ53" i="17"/>
  <c r="AK53" i="17"/>
  <c r="AL53" i="17"/>
  <c r="AE54" i="17"/>
  <c r="AF54" i="17"/>
  <c r="AG54" i="17"/>
  <c r="AH54" i="17"/>
  <c r="AI54" i="17"/>
  <c r="AJ54" i="17"/>
  <c r="AK54" i="17"/>
  <c r="AL54" i="17"/>
  <c r="AE55" i="17"/>
  <c r="AF55" i="17"/>
  <c r="AG55" i="17"/>
  <c r="AH55" i="17"/>
  <c r="AI55" i="17"/>
  <c r="AJ55" i="17"/>
  <c r="AK55" i="17"/>
  <c r="AL55" i="17"/>
  <c r="AE56" i="17"/>
  <c r="AF56" i="17"/>
  <c r="AG56" i="17"/>
  <c r="AH56" i="17"/>
  <c r="AI56" i="17"/>
  <c r="AJ56" i="17"/>
  <c r="AK56" i="17"/>
  <c r="AL56" i="17"/>
  <c r="AE57" i="17"/>
  <c r="AF57" i="17"/>
  <c r="AG57" i="17"/>
  <c r="AH57" i="17"/>
  <c r="AI57" i="17"/>
  <c r="AJ57" i="17"/>
  <c r="AK57" i="17"/>
  <c r="AL57" i="17"/>
  <c r="AG10" i="17"/>
  <c r="AH10" i="17"/>
  <c r="AI10" i="17"/>
  <c r="AJ10" i="17"/>
  <c r="AK10" i="17"/>
  <c r="AL10" i="17"/>
  <c r="AF10" i="17"/>
  <c r="AE10" i="17"/>
  <c r="AB56" i="17"/>
  <c r="AC56" i="17"/>
  <c r="AD56" i="17"/>
  <c r="AB57" i="17"/>
  <c r="AC57" i="17"/>
  <c r="AD57" i="17"/>
  <c r="AA57" i="17"/>
  <c r="AA56" i="17"/>
  <c r="AA47" i="17"/>
  <c r="AA46" i="17"/>
  <c r="AA45" i="17"/>
  <c r="AA44" i="17"/>
  <c r="AA43" i="17"/>
  <c r="Z57" i="17"/>
  <c r="Z56" i="17"/>
  <c r="Y57" i="17"/>
  <c r="Y56" i="17"/>
  <c r="X57" i="17"/>
  <c r="X56" i="17"/>
  <c r="W57" i="17"/>
  <c r="W56" i="17"/>
  <c r="W11" i="17"/>
  <c r="X11" i="17"/>
  <c r="Y11" i="17"/>
  <c r="Z11" i="17"/>
  <c r="AA11" i="17"/>
  <c r="W12" i="17"/>
  <c r="X12" i="17"/>
  <c r="Y12" i="17"/>
  <c r="Z12" i="17"/>
  <c r="AA12" i="17"/>
  <c r="AB12" i="17"/>
  <c r="AC12" i="17"/>
  <c r="AD12" i="17"/>
  <c r="W13" i="17"/>
  <c r="X13" i="17"/>
  <c r="Y13" i="17"/>
  <c r="Z13" i="17"/>
  <c r="AA13" i="17"/>
  <c r="AB13" i="17"/>
  <c r="AC13" i="17"/>
  <c r="AD13" i="17"/>
  <c r="W14" i="17"/>
  <c r="X14" i="17"/>
  <c r="Y14" i="17"/>
  <c r="Z14" i="17"/>
  <c r="AA14" i="17"/>
  <c r="AB14" i="17"/>
  <c r="AC14" i="17"/>
  <c r="AD14" i="17"/>
  <c r="W15" i="17"/>
  <c r="X15" i="17"/>
  <c r="Y15" i="17"/>
  <c r="Z15" i="17"/>
  <c r="AA15" i="17"/>
  <c r="AB15" i="17"/>
  <c r="AC15" i="17"/>
  <c r="AD15" i="17"/>
  <c r="W16" i="17"/>
  <c r="X16" i="17"/>
  <c r="Y16" i="17"/>
  <c r="Z16" i="17"/>
  <c r="AA16" i="17"/>
  <c r="W17" i="17"/>
  <c r="X17" i="17"/>
  <c r="Y17" i="17"/>
  <c r="Z17" i="17"/>
  <c r="AA17" i="17"/>
  <c r="W18" i="17"/>
  <c r="X18" i="17"/>
  <c r="Y18" i="17"/>
  <c r="Z18" i="17"/>
  <c r="AA18" i="17"/>
  <c r="W19" i="17"/>
  <c r="X19" i="17"/>
  <c r="Y19" i="17"/>
  <c r="Z19" i="17"/>
  <c r="AA19" i="17"/>
  <c r="W20" i="17"/>
  <c r="X20" i="17"/>
  <c r="Y20" i="17"/>
  <c r="Z20" i="17"/>
  <c r="AA20" i="17"/>
  <c r="W21" i="17"/>
  <c r="X21" i="17"/>
  <c r="Y21" i="17"/>
  <c r="Z21" i="17"/>
  <c r="AA21" i="17"/>
  <c r="W22" i="17"/>
  <c r="X22" i="17"/>
  <c r="Y22" i="17"/>
  <c r="Z22" i="17"/>
  <c r="AA22" i="17"/>
  <c r="AB22" i="17"/>
  <c r="AC22" i="17"/>
  <c r="AD22" i="17"/>
  <c r="W24" i="17"/>
  <c r="X24" i="17"/>
  <c r="Y24" i="17"/>
  <c r="Z24" i="17"/>
  <c r="AA24" i="17"/>
  <c r="AB24" i="17"/>
  <c r="AC24" i="17"/>
  <c r="AD24" i="17"/>
  <c r="W25" i="17"/>
  <c r="X25" i="17"/>
  <c r="Y25" i="17"/>
  <c r="Z25" i="17"/>
  <c r="AA25" i="17"/>
  <c r="AB25" i="17"/>
  <c r="AC25" i="17"/>
  <c r="AD25" i="17"/>
  <c r="W26" i="17"/>
  <c r="X26" i="17"/>
  <c r="Y26" i="17"/>
  <c r="Z26" i="17"/>
  <c r="W27" i="17"/>
  <c r="X27" i="17"/>
  <c r="Y27" i="17"/>
  <c r="Z27" i="17"/>
  <c r="AA27" i="17"/>
  <c r="AB27" i="17"/>
  <c r="AC27" i="17"/>
  <c r="AD27" i="17"/>
  <c r="W28" i="17"/>
  <c r="X28" i="17"/>
  <c r="Y28" i="17"/>
  <c r="Z28" i="17"/>
  <c r="AA28" i="17"/>
  <c r="AB28" i="17"/>
  <c r="AC28" i="17"/>
  <c r="AD28" i="17"/>
  <c r="W29" i="17"/>
  <c r="X29" i="17"/>
  <c r="Y29" i="17"/>
  <c r="Z29" i="17"/>
  <c r="AA29" i="17"/>
  <c r="AB29" i="17"/>
  <c r="AC29" i="17"/>
  <c r="AD29" i="17"/>
  <c r="W30" i="17"/>
  <c r="X30" i="17"/>
  <c r="Y30" i="17"/>
  <c r="Z30" i="17"/>
  <c r="AB30" i="17"/>
  <c r="AC30" i="17"/>
  <c r="AD30" i="17"/>
  <c r="W31" i="17"/>
  <c r="X31" i="17"/>
  <c r="Y31" i="17"/>
  <c r="Z31" i="17"/>
  <c r="AA31" i="17"/>
  <c r="AB31" i="17"/>
  <c r="AC31" i="17"/>
  <c r="AD31" i="17"/>
  <c r="W32" i="17"/>
  <c r="X32" i="17"/>
  <c r="Y32" i="17"/>
  <c r="Z32" i="17"/>
  <c r="AA32" i="17"/>
  <c r="AB32" i="17"/>
  <c r="AC32" i="17"/>
  <c r="AD32" i="17"/>
  <c r="W33" i="17"/>
  <c r="X33" i="17"/>
  <c r="Y33" i="17"/>
  <c r="Z33" i="17"/>
  <c r="AA33" i="17"/>
  <c r="AB33" i="17"/>
  <c r="AC33" i="17"/>
  <c r="AD33" i="17"/>
  <c r="W34" i="17"/>
  <c r="X34" i="17"/>
  <c r="Y34" i="17"/>
  <c r="Z34" i="17"/>
  <c r="AD34" i="17"/>
  <c r="W35" i="17"/>
  <c r="X35" i="17"/>
  <c r="Y35" i="17"/>
  <c r="Z35" i="17"/>
  <c r="AA35" i="17"/>
  <c r="AB35" i="17"/>
  <c r="AC35" i="17"/>
  <c r="AD35" i="17"/>
  <c r="W37" i="17"/>
  <c r="X37" i="17"/>
  <c r="Y37" i="17"/>
  <c r="Z37" i="17"/>
  <c r="AA37" i="17"/>
  <c r="AB37" i="17"/>
  <c r="AC37" i="17"/>
  <c r="AD37" i="17"/>
  <c r="W38" i="17"/>
  <c r="X38" i="17"/>
  <c r="Y38" i="17"/>
  <c r="Z38" i="17"/>
  <c r="AA38" i="17"/>
  <c r="W39" i="17"/>
  <c r="X39" i="17"/>
  <c r="Y39" i="17"/>
  <c r="Z39" i="17"/>
  <c r="AB39" i="17"/>
  <c r="AC39" i="17"/>
  <c r="AD39" i="17"/>
  <c r="W40" i="17"/>
  <c r="X40" i="17"/>
  <c r="Y40" i="17"/>
  <c r="Z40" i="17"/>
  <c r="AA40" i="17"/>
  <c r="AB40" i="17"/>
  <c r="AC40" i="17"/>
  <c r="AD40" i="17"/>
  <c r="W41" i="17"/>
  <c r="X41" i="17"/>
  <c r="Y41" i="17"/>
  <c r="Z41" i="17"/>
  <c r="AA41" i="17"/>
  <c r="AB41" i="17"/>
  <c r="AC41" i="17"/>
  <c r="AD41" i="17"/>
  <c r="W42" i="17"/>
  <c r="X42" i="17"/>
  <c r="Y42" i="17"/>
  <c r="Z42" i="17"/>
  <c r="AA42" i="17"/>
  <c r="W43" i="17"/>
  <c r="X43" i="17"/>
  <c r="Y43" i="17"/>
  <c r="Z43" i="17"/>
  <c r="W44" i="17"/>
  <c r="X44" i="17"/>
  <c r="Y44" i="17"/>
  <c r="Z44" i="17"/>
  <c r="W45" i="17"/>
  <c r="X45" i="17"/>
  <c r="Y45" i="17"/>
  <c r="Z45" i="17"/>
  <c r="W46" i="17"/>
  <c r="X46" i="17"/>
  <c r="Y46" i="17"/>
  <c r="Z46" i="17"/>
  <c r="W47" i="17"/>
  <c r="X47" i="17"/>
  <c r="Y47" i="17"/>
  <c r="Z47" i="17"/>
  <c r="W48" i="17"/>
  <c r="X48" i="17"/>
  <c r="Y48" i="17"/>
  <c r="Z48" i="17"/>
  <c r="AA48" i="17"/>
  <c r="AB48" i="17"/>
  <c r="AC48" i="17"/>
  <c r="AD48" i="17"/>
  <c r="W49" i="17"/>
  <c r="X49" i="17"/>
  <c r="Y49" i="17"/>
  <c r="Z49" i="17"/>
  <c r="AA49" i="17"/>
  <c r="AB49" i="17"/>
  <c r="AC49" i="17"/>
  <c r="AD49" i="17"/>
  <c r="W50" i="17"/>
  <c r="X50" i="17"/>
  <c r="Y50" i="17"/>
  <c r="Z50" i="17"/>
  <c r="AA50" i="17"/>
  <c r="W51" i="17"/>
  <c r="X51" i="17"/>
  <c r="Y51" i="17"/>
  <c r="Z51" i="17"/>
  <c r="W52" i="17"/>
  <c r="X52" i="17"/>
  <c r="Y52" i="17"/>
  <c r="Z52" i="17"/>
  <c r="W53" i="17"/>
  <c r="X53" i="17"/>
  <c r="Y53" i="17"/>
  <c r="Z53" i="17"/>
  <c r="AA53" i="17"/>
  <c r="AB53" i="17"/>
  <c r="AC53" i="17"/>
  <c r="AD53" i="17"/>
  <c r="W54" i="17"/>
  <c r="X54" i="17"/>
  <c r="Y54" i="17"/>
  <c r="Z54" i="17"/>
  <c r="AA54" i="17"/>
  <c r="AB54" i="17"/>
  <c r="AC54" i="17"/>
  <c r="AD54" i="17"/>
  <c r="W55" i="17"/>
  <c r="X55" i="17"/>
  <c r="Y55" i="17"/>
  <c r="Z55" i="17"/>
  <c r="AA55" i="17"/>
  <c r="AB55" i="17"/>
  <c r="AC55" i="17"/>
  <c r="AD55" i="17"/>
  <c r="AD10" i="17"/>
  <c r="AC10" i="17"/>
  <c r="AB10" i="17"/>
  <c r="AA10" i="17"/>
  <c r="Z10" i="17"/>
  <c r="Y10" i="17"/>
  <c r="X10" i="17"/>
  <c r="W10" i="17"/>
  <c r="V47" i="17"/>
  <c r="V46" i="17"/>
  <c r="V45" i="17"/>
  <c r="V44" i="17"/>
  <c r="V43" i="17"/>
  <c r="V57" i="17"/>
  <c r="V56" i="17"/>
  <c r="U57" i="17"/>
  <c r="U56" i="17"/>
  <c r="U11" i="17"/>
  <c r="V11" i="17"/>
  <c r="U12" i="17"/>
  <c r="V12" i="17"/>
  <c r="U13" i="17"/>
  <c r="V13" i="17"/>
  <c r="U14" i="17"/>
  <c r="V14" i="17"/>
  <c r="U15" i="17"/>
  <c r="V15" i="17"/>
  <c r="U16" i="17"/>
  <c r="V16" i="17"/>
  <c r="U17" i="17"/>
  <c r="V17" i="17"/>
  <c r="U18" i="17"/>
  <c r="V18" i="17"/>
  <c r="U19" i="17"/>
  <c r="V19" i="17"/>
  <c r="U20" i="17"/>
  <c r="V20" i="17"/>
  <c r="U21" i="17"/>
  <c r="V21" i="17"/>
  <c r="U22" i="17"/>
  <c r="V22" i="17"/>
  <c r="U24" i="17"/>
  <c r="V24" i="17"/>
  <c r="U26" i="17"/>
  <c r="V26" i="17"/>
  <c r="U27" i="17"/>
  <c r="V27" i="17"/>
  <c r="U28" i="17"/>
  <c r="V28" i="17"/>
  <c r="U29" i="17"/>
  <c r="V29" i="17"/>
  <c r="U30" i="17"/>
  <c r="V30" i="17"/>
  <c r="U31" i="17"/>
  <c r="V31" i="17"/>
  <c r="U32" i="17"/>
  <c r="V32" i="17"/>
  <c r="U33" i="17"/>
  <c r="V33" i="17"/>
  <c r="U34" i="17"/>
  <c r="V34" i="17"/>
  <c r="U35" i="17"/>
  <c r="V35" i="17"/>
  <c r="U37" i="17"/>
  <c r="V37" i="17"/>
  <c r="U38" i="17"/>
  <c r="V38" i="17"/>
  <c r="U39" i="17"/>
  <c r="V39" i="17"/>
  <c r="U40" i="17"/>
  <c r="V40" i="17"/>
  <c r="U41" i="17"/>
  <c r="V41" i="17"/>
  <c r="U42" i="17"/>
  <c r="V42" i="17"/>
  <c r="U43" i="17"/>
  <c r="U44" i="17"/>
  <c r="U45" i="17"/>
  <c r="U46" i="17"/>
  <c r="U47" i="17"/>
  <c r="U48" i="17"/>
  <c r="V48" i="17"/>
  <c r="U49" i="17"/>
  <c r="V49" i="17"/>
  <c r="U50" i="17"/>
  <c r="V50" i="17"/>
  <c r="U51" i="17"/>
  <c r="V51" i="17"/>
  <c r="U52" i="17"/>
  <c r="V52" i="17"/>
  <c r="U53" i="17"/>
  <c r="V53" i="17"/>
  <c r="U54" i="17"/>
  <c r="V54" i="17"/>
  <c r="U55" i="17"/>
  <c r="V55" i="17"/>
  <c r="V10" i="17"/>
  <c r="U10" i="17"/>
  <c r="O56" i="17"/>
  <c r="P56" i="17"/>
  <c r="Q56" i="17"/>
  <c r="O57" i="17"/>
  <c r="P57" i="17"/>
  <c r="Q57" i="17"/>
  <c r="N57" i="17"/>
  <c r="N56" i="17"/>
  <c r="M57" i="17"/>
  <c r="M56" i="17"/>
  <c r="M47" i="17"/>
  <c r="M46" i="17"/>
  <c r="M45" i="17"/>
  <c r="M44" i="17"/>
  <c r="M43" i="17"/>
  <c r="K47" i="17"/>
  <c r="K46" i="17"/>
  <c r="K45" i="17"/>
  <c r="K44" i="17"/>
  <c r="K43" i="17"/>
  <c r="J11" i="17"/>
  <c r="J12" i="17"/>
  <c r="J13" i="17"/>
  <c r="J14" i="17"/>
  <c r="J15" i="17"/>
  <c r="J16" i="17"/>
  <c r="J17" i="17"/>
  <c r="J18" i="17"/>
  <c r="J19" i="17"/>
  <c r="J20" i="17"/>
  <c r="J21" i="17"/>
  <c r="J22" i="17"/>
  <c r="J24" i="17"/>
  <c r="J25" i="17"/>
  <c r="J26" i="17"/>
  <c r="J27" i="17"/>
  <c r="J28" i="17"/>
  <c r="J29" i="17"/>
  <c r="J30" i="17"/>
  <c r="J31" i="17"/>
  <c r="J32" i="17"/>
  <c r="J33" i="17"/>
  <c r="J34" i="17"/>
  <c r="J35" i="17"/>
  <c r="J37" i="17"/>
  <c r="J38" i="17"/>
  <c r="J39" i="17"/>
  <c r="J40" i="17"/>
  <c r="J41" i="17"/>
  <c r="J42" i="17"/>
  <c r="J43" i="17"/>
  <c r="J44" i="17"/>
  <c r="J45" i="17"/>
  <c r="J46" i="17"/>
  <c r="J47" i="17"/>
  <c r="J48" i="17"/>
  <c r="J49" i="17"/>
  <c r="J50" i="17"/>
  <c r="J51" i="17"/>
  <c r="J52" i="17"/>
  <c r="J53" i="17"/>
  <c r="J54" i="17"/>
  <c r="J55" i="17"/>
  <c r="J56" i="17"/>
  <c r="J57" i="17"/>
  <c r="K11" i="17"/>
  <c r="M11" i="17"/>
  <c r="N11" i="17"/>
  <c r="O11" i="17"/>
  <c r="P11" i="17"/>
  <c r="Q11" i="17"/>
  <c r="R11" i="17"/>
  <c r="K12" i="17"/>
  <c r="M12" i="17"/>
  <c r="N12" i="17"/>
  <c r="O12" i="17"/>
  <c r="P12" i="17"/>
  <c r="Q12" i="17"/>
  <c r="R12" i="17"/>
  <c r="K13" i="17"/>
  <c r="M13" i="17"/>
  <c r="N13" i="17"/>
  <c r="O13" i="17"/>
  <c r="P13" i="17"/>
  <c r="Q13" i="17"/>
  <c r="R13" i="17"/>
  <c r="K14" i="17"/>
  <c r="M14" i="17"/>
  <c r="N14" i="17"/>
  <c r="O14" i="17"/>
  <c r="P14" i="17"/>
  <c r="Q14" i="17"/>
  <c r="R14" i="17"/>
  <c r="K15" i="17"/>
  <c r="M15" i="17"/>
  <c r="N15" i="17"/>
  <c r="O15" i="17"/>
  <c r="P15" i="17"/>
  <c r="Q15" i="17"/>
  <c r="R15" i="17"/>
  <c r="K16" i="17"/>
  <c r="M16" i="17"/>
  <c r="N16" i="17"/>
  <c r="O16" i="17"/>
  <c r="P16" i="17"/>
  <c r="Q16" i="17"/>
  <c r="R16" i="17"/>
  <c r="K17" i="17"/>
  <c r="M17" i="17"/>
  <c r="N17" i="17"/>
  <c r="O17" i="17"/>
  <c r="P17" i="17"/>
  <c r="Q17" i="17"/>
  <c r="R17" i="17"/>
  <c r="K18" i="17"/>
  <c r="M18" i="17"/>
  <c r="N18" i="17"/>
  <c r="O18" i="17"/>
  <c r="P18" i="17"/>
  <c r="Q18" i="17"/>
  <c r="R18" i="17"/>
  <c r="K19" i="17"/>
  <c r="M19" i="17"/>
  <c r="N19" i="17"/>
  <c r="O19" i="17"/>
  <c r="P19" i="17"/>
  <c r="Q19" i="17"/>
  <c r="R19" i="17"/>
  <c r="K20" i="17"/>
  <c r="M20" i="17"/>
  <c r="N20" i="17"/>
  <c r="O20" i="17"/>
  <c r="P20" i="17"/>
  <c r="Q20" i="17"/>
  <c r="R20" i="17"/>
  <c r="K21" i="17"/>
  <c r="M21" i="17"/>
  <c r="N21" i="17"/>
  <c r="O21" i="17"/>
  <c r="P21" i="17"/>
  <c r="Q21" i="17"/>
  <c r="R21" i="17"/>
  <c r="K22" i="17"/>
  <c r="M22" i="17"/>
  <c r="N22" i="17"/>
  <c r="O22" i="17"/>
  <c r="P22" i="17"/>
  <c r="Q22" i="17"/>
  <c r="R22" i="17"/>
  <c r="K24" i="17"/>
  <c r="M24" i="17"/>
  <c r="N24" i="17"/>
  <c r="O24" i="17"/>
  <c r="P24" i="17"/>
  <c r="Q24" i="17"/>
  <c r="R24" i="17"/>
  <c r="K25" i="17"/>
  <c r="M25" i="17"/>
  <c r="N25" i="17"/>
  <c r="O25" i="17"/>
  <c r="P25" i="17"/>
  <c r="Q25" i="17"/>
  <c r="R25" i="17"/>
  <c r="K26" i="17"/>
  <c r="M26" i="17"/>
  <c r="N26" i="17"/>
  <c r="O26" i="17"/>
  <c r="P26" i="17"/>
  <c r="Q26" i="17"/>
  <c r="R26" i="17"/>
  <c r="K27" i="17"/>
  <c r="M27" i="17"/>
  <c r="N27" i="17"/>
  <c r="O27" i="17"/>
  <c r="P27" i="17"/>
  <c r="Q27" i="17"/>
  <c r="R27" i="17"/>
  <c r="K28" i="17"/>
  <c r="M28" i="17"/>
  <c r="N28" i="17"/>
  <c r="O28" i="17"/>
  <c r="P28" i="17"/>
  <c r="Q28" i="17"/>
  <c r="R28" i="17"/>
  <c r="K29" i="17"/>
  <c r="M29" i="17"/>
  <c r="N29" i="17"/>
  <c r="O29" i="17"/>
  <c r="P29" i="17"/>
  <c r="Q29" i="17"/>
  <c r="R29" i="17"/>
  <c r="K30" i="17"/>
  <c r="M30" i="17"/>
  <c r="N30" i="17"/>
  <c r="O30" i="17"/>
  <c r="P30" i="17"/>
  <c r="Q30" i="17"/>
  <c r="R30" i="17"/>
  <c r="K31" i="17"/>
  <c r="M31" i="17"/>
  <c r="N31" i="17"/>
  <c r="O31" i="17"/>
  <c r="P31" i="17"/>
  <c r="Q31" i="17"/>
  <c r="R31" i="17"/>
  <c r="K32" i="17"/>
  <c r="M32" i="17"/>
  <c r="N32" i="17"/>
  <c r="O32" i="17"/>
  <c r="P32" i="17"/>
  <c r="Q32" i="17"/>
  <c r="R32" i="17"/>
  <c r="K33" i="17"/>
  <c r="M33" i="17"/>
  <c r="N33" i="17"/>
  <c r="O33" i="17"/>
  <c r="P33" i="17"/>
  <c r="Q33" i="17"/>
  <c r="R33" i="17"/>
  <c r="K34" i="17"/>
  <c r="M34" i="17"/>
  <c r="N34" i="17"/>
  <c r="O34" i="17"/>
  <c r="P34" i="17"/>
  <c r="Q34" i="17"/>
  <c r="R34" i="17"/>
  <c r="K35" i="17"/>
  <c r="M35" i="17"/>
  <c r="N35" i="17"/>
  <c r="O35" i="17"/>
  <c r="P35" i="17"/>
  <c r="Q35" i="17"/>
  <c r="R35" i="17"/>
  <c r="K37" i="17"/>
  <c r="M37" i="17"/>
  <c r="N37" i="17"/>
  <c r="O37" i="17"/>
  <c r="P37" i="17"/>
  <c r="Q37" i="17"/>
  <c r="R37" i="17"/>
  <c r="K38" i="17"/>
  <c r="M38" i="17"/>
  <c r="N38" i="17"/>
  <c r="O38" i="17"/>
  <c r="P38" i="17"/>
  <c r="Q38" i="17"/>
  <c r="R38" i="17"/>
  <c r="K39" i="17"/>
  <c r="M39" i="17"/>
  <c r="N39" i="17"/>
  <c r="O39" i="17"/>
  <c r="P39" i="17"/>
  <c r="Q39" i="17"/>
  <c r="R39" i="17"/>
  <c r="K40" i="17"/>
  <c r="M40" i="17"/>
  <c r="N40" i="17"/>
  <c r="O40" i="17"/>
  <c r="P40" i="17"/>
  <c r="Q40" i="17"/>
  <c r="R40" i="17"/>
  <c r="K41" i="17"/>
  <c r="M41" i="17"/>
  <c r="N41" i="17"/>
  <c r="P41" i="17"/>
  <c r="Q41" i="17"/>
  <c r="R41" i="17"/>
  <c r="K42" i="17"/>
  <c r="M42" i="17"/>
  <c r="N42" i="17"/>
  <c r="O42" i="17"/>
  <c r="P42" i="17"/>
  <c r="Q42" i="17"/>
  <c r="R42" i="17"/>
  <c r="N43" i="17"/>
  <c r="P43" i="17"/>
  <c r="Q43" i="17"/>
  <c r="R43" i="17"/>
  <c r="N44" i="17"/>
  <c r="O44" i="17"/>
  <c r="P44" i="17"/>
  <c r="Q44" i="17"/>
  <c r="R44" i="17"/>
  <c r="N45" i="17"/>
  <c r="O45" i="17"/>
  <c r="P45" i="17"/>
  <c r="Q45" i="17"/>
  <c r="R45" i="17"/>
  <c r="N46" i="17"/>
  <c r="O46" i="17"/>
  <c r="P46" i="17"/>
  <c r="Q46" i="17"/>
  <c r="R46" i="17"/>
  <c r="N47" i="17"/>
  <c r="O47" i="17"/>
  <c r="P47" i="17"/>
  <c r="Q47" i="17"/>
  <c r="R47" i="17"/>
  <c r="K48" i="17"/>
  <c r="M48" i="17"/>
  <c r="N48" i="17"/>
  <c r="O48" i="17"/>
  <c r="P48" i="17"/>
  <c r="Q48" i="17"/>
  <c r="R48" i="17"/>
  <c r="K49" i="17"/>
  <c r="M49" i="17"/>
  <c r="N49" i="17"/>
  <c r="O49" i="17"/>
  <c r="P49" i="17"/>
  <c r="Q49" i="17"/>
  <c r="R49" i="17"/>
  <c r="K50" i="17"/>
  <c r="M50" i="17"/>
  <c r="N50" i="17"/>
  <c r="O50" i="17"/>
  <c r="P50" i="17"/>
  <c r="Q50" i="17"/>
  <c r="R50" i="17"/>
  <c r="K51" i="17"/>
  <c r="M51" i="17"/>
  <c r="N51" i="17"/>
  <c r="O51" i="17"/>
  <c r="P51" i="17"/>
  <c r="Q51" i="17"/>
  <c r="R51" i="17"/>
  <c r="K52" i="17"/>
  <c r="M52" i="17"/>
  <c r="N52" i="17"/>
  <c r="O52" i="17"/>
  <c r="P52" i="17"/>
  <c r="Q52" i="17"/>
  <c r="R52" i="17"/>
  <c r="K53" i="17"/>
  <c r="M53" i="17"/>
  <c r="N53" i="17"/>
  <c r="O53" i="17"/>
  <c r="P53" i="17"/>
  <c r="Q53" i="17"/>
  <c r="R53" i="17"/>
  <c r="K54" i="17"/>
  <c r="M54" i="17"/>
  <c r="N54" i="17"/>
  <c r="O54" i="17"/>
  <c r="P54" i="17"/>
  <c r="Q54" i="17"/>
  <c r="R54" i="17"/>
  <c r="K55" i="17"/>
  <c r="M55" i="17"/>
  <c r="N55" i="17"/>
  <c r="O55" i="17"/>
  <c r="P55" i="17"/>
  <c r="Q55" i="17"/>
  <c r="R55" i="17"/>
  <c r="N10" i="17"/>
  <c r="O10" i="17"/>
  <c r="P10" i="17"/>
  <c r="Q10" i="17"/>
  <c r="R10" i="17"/>
  <c r="M10" i="17"/>
  <c r="K10" i="17"/>
  <c r="J10" i="17"/>
  <c r="I57" i="17"/>
  <c r="I56" i="17"/>
  <c r="H57" i="17"/>
  <c r="H56" i="17"/>
  <c r="I49" i="17"/>
  <c r="H49" i="17"/>
  <c r="I47" i="17"/>
  <c r="I46" i="17"/>
  <c r="I45" i="17"/>
  <c r="I44" i="17"/>
  <c r="H47" i="17"/>
  <c r="H46" i="17"/>
  <c r="H45" i="17"/>
  <c r="H44" i="17"/>
  <c r="I43" i="17"/>
  <c r="H43" i="17"/>
  <c r="I28" i="17"/>
  <c r="H28" i="17"/>
  <c r="I21" i="17"/>
  <c r="H21" i="17"/>
  <c r="I20" i="17"/>
  <c r="H20" i="17"/>
  <c r="I11" i="17"/>
  <c r="H11" i="17"/>
  <c r="H12" i="17"/>
  <c r="I12" i="17"/>
  <c r="H13" i="17"/>
  <c r="I13" i="17"/>
  <c r="H14" i="17"/>
  <c r="I14" i="17"/>
  <c r="H15" i="17"/>
  <c r="I15" i="17"/>
  <c r="H16" i="17"/>
  <c r="I16" i="17"/>
  <c r="H17" i="17"/>
  <c r="I17" i="17"/>
  <c r="H18" i="17"/>
  <c r="I18" i="17"/>
  <c r="H19" i="17"/>
  <c r="I19" i="17"/>
  <c r="H22" i="17"/>
  <c r="I22" i="17"/>
  <c r="H24" i="17"/>
  <c r="I24" i="17"/>
  <c r="H25" i="17"/>
  <c r="I25" i="17"/>
  <c r="H26" i="17"/>
  <c r="I26" i="17"/>
  <c r="H27" i="17"/>
  <c r="I27" i="17"/>
  <c r="H29" i="17"/>
  <c r="I29" i="17"/>
  <c r="H30" i="17"/>
  <c r="I30" i="17"/>
  <c r="H31" i="17"/>
  <c r="I31" i="17"/>
  <c r="H32" i="17"/>
  <c r="I32" i="17"/>
  <c r="H33" i="17"/>
  <c r="I33" i="17"/>
  <c r="H34" i="17"/>
  <c r="I34" i="17"/>
  <c r="H35" i="17"/>
  <c r="I35" i="17"/>
  <c r="H37" i="17"/>
  <c r="I37" i="17"/>
  <c r="H38" i="17"/>
  <c r="I38" i="17"/>
  <c r="H39" i="17"/>
  <c r="I39" i="17"/>
  <c r="H40" i="17"/>
  <c r="I40" i="17"/>
  <c r="H41" i="17"/>
  <c r="I41" i="17"/>
  <c r="H42" i="17"/>
  <c r="I42" i="17"/>
  <c r="H48" i="17"/>
  <c r="I48" i="17"/>
  <c r="H50" i="17"/>
  <c r="I50" i="17"/>
  <c r="H51" i="17"/>
  <c r="I51" i="17"/>
  <c r="H52" i="17"/>
  <c r="I52" i="17"/>
  <c r="H53" i="17"/>
  <c r="I53" i="17"/>
  <c r="H54" i="17"/>
  <c r="I54" i="17"/>
  <c r="H55" i="17"/>
  <c r="I55" i="17"/>
  <c r="I10" i="17"/>
  <c r="H10" i="17"/>
  <c r="G57" i="17"/>
  <c r="G56" i="17"/>
  <c r="G49" i="17"/>
  <c r="G47" i="17"/>
  <c r="G46" i="17"/>
  <c r="G45" i="17"/>
  <c r="G44" i="17"/>
  <c r="G43" i="17"/>
  <c r="G40" i="17"/>
  <c r="G39" i="17"/>
  <c r="G38" i="17"/>
  <c r="G35" i="17"/>
  <c r="G34" i="17"/>
  <c r="G28" i="17"/>
  <c r="G26" i="17"/>
  <c r="G21" i="17"/>
  <c r="G20" i="17"/>
  <c r="G11" i="17"/>
  <c r="G12" i="17"/>
  <c r="G13" i="17"/>
  <c r="G14" i="17"/>
  <c r="G15" i="17"/>
  <c r="G16" i="17"/>
  <c r="G17" i="17"/>
  <c r="G18" i="17"/>
  <c r="G19" i="17"/>
  <c r="G22" i="17"/>
  <c r="G24" i="17"/>
  <c r="G25" i="17"/>
  <c r="G27" i="17"/>
  <c r="G29" i="17"/>
  <c r="G30" i="17"/>
  <c r="G31" i="17"/>
  <c r="G32" i="17"/>
  <c r="G33" i="17"/>
  <c r="G37" i="17"/>
  <c r="G41" i="17"/>
  <c r="G42" i="17"/>
  <c r="G48" i="17"/>
  <c r="G50" i="17"/>
  <c r="G51" i="17"/>
  <c r="G52" i="17"/>
  <c r="G53" i="17"/>
  <c r="G54" i="17"/>
  <c r="G55" i="17"/>
  <c r="G10" i="17"/>
  <c r="F10" i="17"/>
  <c r="C10" i="17"/>
  <c r="D10" i="17"/>
  <c r="E10" i="17"/>
  <c r="C11" i="17"/>
  <c r="D11" i="17"/>
  <c r="E11" i="17"/>
  <c r="F11" i="17"/>
  <c r="C12" i="17"/>
  <c r="D12" i="17"/>
  <c r="E12" i="17"/>
  <c r="F12" i="17"/>
  <c r="C13" i="17"/>
  <c r="D13" i="17"/>
  <c r="E13" i="17"/>
  <c r="F13" i="17"/>
  <c r="C14" i="17"/>
  <c r="D14" i="17"/>
  <c r="E14" i="17"/>
  <c r="F14" i="17"/>
  <c r="C15" i="17"/>
  <c r="D15" i="17"/>
  <c r="E15" i="17"/>
  <c r="F15" i="17"/>
  <c r="C16" i="17"/>
  <c r="D16" i="17"/>
  <c r="E16" i="17"/>
  <c r="F16" i="17"/>
  <c r="C17" i="17"/>
  <c r="D17" i="17"/>
  <c r="E17" i="17"/>
  <c r="F17" i="17"/>
  <c r="C18" i="17"/>
  <c r="D18" i="17"/>
  <c r="E18" i="17"/>
  <c r="F18" i="17"/>
  <c r="C19" i="17"/>
  <c r="D19" i="17"/>
  <c r="E19" i="17"/>
  <c r="F19" i="17"/>
  <c r="C20" i="17"/>
  <c r="D20" i="17"/>
  <c r="E20" i="17"/>
  <c r="F20" i="17"/>
  <c r="C21" i="17"/>
  <c r="D21" i="17"/>
  <c r="E21" i="17"/>
  <c r="F21" i="17"/>
  <c r="C22" i="17"/>
  <c r="D22" i="17"/>
  <c r="E22" i="17"/>
  <c r="F22" i="17"/>
  <c r="C24" i="17"/>
  <c r="D24" i="17"/>
  <c r="E24" i="17"/>
  <c r="F24" i="17"/>
  <c r="C25" i="17"/>
  <c r="D25" i="17"/>
  <c r="E25" i="17"/>
  <c r="F25" i="17"/>
  <c r="C26" i="17"/>
  <c r="D26" i="17"/>
  <c r="E26" i="17"/>
  <c r="F26" i="17"/>
  <c r="C27" i="17"/>
  <c r="D27" i="17"/>
  <c r="E27" i="17"/>
  <c r="F27" i="17"/>
  <c r="C28" i="17"/>
  <c r="D28" i="17"/>
  <c r="E28" i="17"/>
  <c r="F28" i="17"/>
  <c r="C29" i="17"/>
  <c r="D29" i="17"/>
  <c r="E29" i="17"/>
  <c r="F29" i="17"/>
  <c r="C30" i="17"/>
  <c r="D30" i="17"/>
  <c r="E30" i="17"/>
  <c r="F30" i="17"/>
  <c r="C31" i="17"/>
  <c r="D31" i="17"/>
  <c r="E31" i="17"/>
  <c r="F31" i="17"/>
  <c r="C32" i="17"/>
  <c r="D32" i="17"/>
  <c r="E32" i="17"/>
  <c r="F32" i="17"/>
  <c r="C33" i="17"/>
  <c r="D33" i="17"/>
  <c r="E33" i="17"/>
  <c r="F33" i="17"/>
  <c r="C34" i="17"/>
  <c r="D34" i="17"/>
  <c r="E34" i="17"/>
  <c r="F34" i="17"/>
  <c r="C35" i="17"/>
  <c r="D35" i="17"/>
  <c r="E35" i="17"/>
  <c r="F35" i="17"/>
  <c r="C37" i="17"/>
  <c r="D37" i="17"/>
  <c r="E37" i="17"/>
  <c r="F37" i="17"/>
  <c r="C38" i="17"/>
  <c r="D38" i="17"/>
  <c r="E38" i="17"/>
  <c r="F38" i="17"/>
  <c r="C39" i="17"/>
  <c r="D39" i="17"/>
  <c r="E39" i="17"/>
  <c r="F39" i="17"/>
  <c r="C40" i="17"/>
  <c r="D40" i="17"/>
  <c r="E40" i="17"/>
  <c r="F40" i="17"/>
  <c r="C41" i="17"/>
  <c r="D41" i="17"/>
  <c r="E41" i="17"/>
  <c r="F41" i="17"/>
  <c r="C42" i="17"/>
  <c r="D42" i="17"/>
  <c r="E42" i="17"/>
  <c r="F42" i="17"/>
  <c r="C43" i="17"/>
  <c r="D43" i="17"/>
  <c r="E43" i="17"/>
  <c r="F43" i="17"/>
  <c r="C44" i="17"/>
  <c r="D44" i="17"/>
  <c r="E44" i="17"/>
  <c r="F44" i="17"/>
  <c r="C45" i="17"/>
  <c r="D45" i="17"/>
  <c r="E45" i="17"/>
  <c r="F45" i="17"/>
  <c r="C46" i="17"/>
  <c r="D46" i="17"/>
  <c r="E46" i="17"/>
  <c r="F46" i="17"/>
  <c r="C47" i="17"/>
  <c r="D47" i="17"/>
  <c r="E47" i="17"/>
  <c r="F47" i="17"/>
  <c r="C48" i="17"/>
  <c r="D48" i="17"/>
  <c r="E48" i="17"/>
  <c r="F48" i="17"/>
  <c r="C49" i="17"/>
  <c r="D49" i="17"/>
  <c r="E49" i="17"/>
  <c r="F49" i="17"/>
  <c r="C50" i="17"/>
  <c r="D50" i="17"/>
  <c r="E50" i="17"/>
  <c r="F50" i="17"/>
  <c r="C51" i="17"/>
  <c r="D51" i="17"/>
  <c r="E51" i="17"/>
  <c r="F51" i="17"/>
  <c r="C52" i="17"/>
  <c r="D52" i="17"/>
  <c r="E52" i="17"/>
  <c r="F52" i="17"/>
  <c r="C53" i="17"/>
  <c r="D53" i="17"/>
  <c r="E53" i="17"/>
  <c r="F53" i="17"/>
  <c r="C54" i="17"/>
  <c r="D54" i="17"/>
  <c r="E54" i="17"/>
  <c r="F54" i="17"/>
  <c r="C55" i="17"/>
  <c r="D55" i="17"/>
  <c r="E55" i="17"/>
  <c r="F55" i="17"/>
  <c r="C56" i="17"/>
  <c r="D56" i="17"/>
  <c r="E56" i="17"/>
  <c r="F56" i="17"/>
  <c r="C57" i="17"/>
  <c r="D57" i="17"/>
  <c r="E57" i="17"/>
  <c r="F57" i="17"/>
  <c r="B57" i="17"/>
  <c r="B56" i="17"/>
  <c r="B54" i="17"/>
  <c r="B49" i="17"/>
  <c r="B47" i="17"/>
  <c r="B46" i="17"/>
  <c r="B45" i="17"/>
  <c r="B44" i="17"/>
  <c r="B43" i="17"/>
  <c r="B40" i="17"/>
  <c r="B39" i="17"/>
  <c r="B38" i="17"/>
  <c r="B35" i="17"/>
  <c r="B34" i="17"/>
  <c r="B32" i="17"/>
  <c r="B31" i="17"/>
  <c r="B28" i="17"/>
  <c r="B26" i="17"/>
  <c r="B21" i="17"/>
  <c r="B20" i="17"/>
  <c r="B19" i="17"/>
  <c r="B17" i="17"/>
  <c r="B14" i="17"/>
  <c r="B13" i="17"/>
  <c r="B11" i="17"/>
  <c r="B12" i="17"/>
  <c r="B15" i="17"/>
  <c r="B16" i="17"/>
  <c r="B18" i="17"/>
  <c r="B22" i="17"/>
  <c r="B24" i="17"/>
  <c r="B25" i="17"/>
  <c r="B27" i="17"/>
  <c r="B29" i="17"/>
  <c r="B30" i="17"/>
  <c r="B33" i="17"/>
  <c r="B37" i="17"/>
  <c r="B41" i="17"/>
  <c r="B42" i="17"/>
  <c r="B48" i="17"/>
  <c r="B50" i="17"/>
  <c r="B51" i="17"/>
  <c r="B52" i="17"/>
  <c r="B53" i="17"/>
  <c r="B55" i="17"/>
  <c r="B10" i="17"/>
  <c r="A11" i="17"/>
  <c r="AY11" i="17" s="1"/>
  <c r="A12" i="17"/>
  <c r="AY12" i="17" s="1"/>
  <c r="A13" i="17"/>
  <c r="AY13" i="17" s="1"/>
  <c r="A14" i="17"/>
  <c r="AY14" i="17" s="1"/>
  <c r="A15" i="17"/>
  <c r="AY15" i="17" s="1"/>
  <c r="A16" i="17"/>
  <c r="AY16" i="17" s="1"/>
  <c r="A17" i="17"/>
  <c r="AY17" i="17" s="1"/>
  <c r="A18" i="17"/>
  <c r="AY18" i="17" s="1"/>
  <c r="A19" i="17"/>
  <c r="AY19" i="17" s="1"/>
  <c r="A20" i="17"/>
  <c r="AY20" i="17" s="1"/>
  <c r="A21" i="17"/>
  <c r="AY21" i="17" s="1"/>
  <c r="A22" i="17"/>
  <c r="AY22" i="17" s="1"/>
  <c r="A24" i="17"/>
  <c r="AY24" i="17" s="1"/>
  <c r="A25" i="17"/>
  <c r="AY25" i="17" s="1"/>
  <c r="A26" i="17"/>
  <c r="AY26" i="17" s="1"/>
  <c r="A27" i="17"/>
  <c r="AY27" i="17" s="1"/>
  <c r="A28" i="17"/>
  <c r="AY28" i="17" s="1"/>
  <c r="A29" i="17"/>
  <c r="AY29" i="17" s="1"/>
  <c r="A30" i="17"/>
  <c r="AY30" i="17" s="1"/>
  <c r="A31" i="17"/>
  <c r="AY31" i="17" s="1"/>
  <c r="A32" i="17"/>
  <c r="AY32" i="17" s="1"/>
  <c r="A33" i="17"/>
  <c r="AY33" i="17" s="1"/>
  <c r="A34" i="17"/>
  <c r="AY34" i="17" s="1"/>
  <c r="A35" i="17"/>
  <c r="AY35" i="17" s="1"/>
  <c r="A37" i="17"/>
  <c r="AY37" i="17" s="1"/>
  <c r="A38" i="17"/>
  <c r="AY38" i="17" s="1"/>
  <c r="A39" i="17"/>
  <c r="AY39" i="17" s="1"/>
  <c r="A40" i="17"/>
  <c r="AY40" i="17" s="1"/>
  <c r="A41" i="17"/>
  <c r="AY41" i="17" s="1"/>
  <c r="A42" i="17"/>
  <c r="AY42" i="17" s="1"/>
  <c r="A43" i="17"/>
  <c r="AY43" i="17" s="1"/>
  <c r="A44" i="17"/>
  <c r="AY44" i="17" s="1"/>
  <c r="A45" i="17"/>
  <c r="AY45" i="17" s="1"/>
  <c r="A46" i="17"/>
  <c r="AY46" i="17" s="1"/>
  <c r="A47" i="17"/>
  <c r="AY47" i="17" s="1"/>
  <c r="A48" i="17"/>
  <c r="AY48" i="17" s="1"/>
  <c r="A49" i="17"/>
  <c r="AY49" i="17" s="1"/>
  <c r="A50" i="17"/>
  <c r="AY50" i="17" s="1"/>
  <c r="A51" i="17"/>
  <c r="AY51" i="17" s="1"/>
  <c r="A52" i="17"/>
  <c r="AY52" i="17" s="1"/>
  <c r="A53" i="17"/>
  <c r="AY53" i="17" s="1"/>
  <c r="A54" i="17"/>
  <c r="AY54" i="17" s="1"/>
  <c r="A55" i="17"/>
  <c r="AY55" i="17" s="1"/>
  <c r="A56" i="17"/>
  <c r="AY56" i="17" s="1"/>
  <c r="A57" i="17"/>
  <c r="AY57" i="17" s="1"/>
  <c r="A10" i="17"/>
  <c r="AY10" i="17" s="1"/>
  <c r="L19" i="17" l="1"/>
  <c r="L11" i="17"/>
  <c r="L34" i="17"/>
  <c r="L27" i="17"/>
  <c r="L43" i="17"/>
  <c r="L42" i="17"/>
  <c r="L50" i="17"/>
  <c r="L33" i="17"/>
  <c r="L26" i="17"/>
  <c r="L40" i="17"/>
  <c r="L32" i="17"/>
  <c r="L16" i="17"/>
  <c r="L55" i="17"/>
  <c r="L48" i="17"/>
  <c r="L22" i="17"/>
  <c r="L14" i="17"/>
  <c r="L49" i="17"/>
  <c r="L18" i="17"/>
  <c r="L51" i="17"/>
  <c r="L35" i="17"/>
  <c r="L28" i="17"/>
  <c r="L25" i="17"/>
  <c r="L12" i="17"/>
  <c r="L30" i="17"/>
  <c r="L29" i="17"/>
  <c r="L13" i="17"/>
  <c r="L41" i="17"/>
  <c r="L20" i="17"/>
  <c r="L38" i="17"/>
  <c r="L53" i="17"/>
  <c r="L21" i="17"/>
  <c r="L52" i="17"/>
  <c r="L37" i="17"/>
  <c r="L17" i="17"/>
  <c r="L54" i="17"/>
  <c r="L31" i="17"/>
  <c r="L24" i="17"/>
  <c r="L15" i="17"/>
  <c r="L57" i="17"/>
  <c r="L45" i="17"/>
  <c r="L56" i="17"/>
  <c r="L39" i="17"/>
  <c r="L46" i="17"/>
  <c r="L47" i="17"/>
  <c r="L44" i="17"/>
  <c r="L10" i="17"/>
  <c r="I12" i="16" l="1"/>
  <c r="I12" i="15"/>
  <c r="I12" i="14"/>
  <c r="I12" i="8" l="1"/>
  <c r="I12" i="6"/>
  <c r="I12" i="5"/>
  <c r="I12" i="4"/>
  <c r="I12" i="3"/>
  <c r="AA39" i="17" l="1"/>
  <c r="AC34" i="17"/>
  <c r="AB34" i="17"/>
  <c r="AA34" i="17"/>
  <c r="AA30" i="17"/>
  <c r="AB51" i="17" l="1"/>
  <c r="AA51" i="17"/>
  <c r="AB38" i="17"/>
  <c r="AB17" i="17"/>
  <c r="AB21" i="17"/>
  <c r="AB20" i="17"/>
  <c r="AB11" i="17"/>
  <c r="AB18" i="17"/>
  <c r="AB19" i="17"/>
  <c r="AB44" i="17"/>
  <c r="AB47" i="17"/>
  <c r="AB45" i="17"/>
  <c r="AB43" i="17"/>
  <c r="AB46" i="17"/>
  <c r="AB42" i="17"/>
  <c r="AB50" i="17"/>
  <c r="AD50" i="17" l="1"/>
  <c r="AC50" i="17"/>
  <c r="AD21" i="17"/>
  <c r="AC21" i="17"/>
  <c r="AD19" i="17"/>
  <c r="AC19" i="17"/>
  <c r="AD20" i="17"/>
  <c r="AC20" i="17"/>
  <c r="AD18" i="17"/>
  <c r="AC18" i="17"/>
  <c r="AB16" i="17"/>
  <c r="AC44" i="17"/>
  <c r="AC47" i="17"/>
  <c r="AC45" i="17"/>
  <c r="AC46" i="17"/>
  <c r="AC43" i="17"/>
  <c r="AC42" i="17"/>
  <c r="AD17" i="17"/>
  <c r="AC17" i="17"/>
  <c r="AD11" i="17"/>
  <c r="AC11" i="17"/>
  <c r="AD38" i="17"/>
  <c r="AC38" i="17"/>
  <c r="AC51" i="17" l="1"/>
  <c r="AD46" i="17"/>
  <c r="AD42" i="17"/>
  <c r="AD44" i="17"/>
  <c r="AD47" i="17"/>
  <c r="AD45" i="17"/>
  <c r="AD43" i="17"/>
  <c r="AD16" i="17"/>
  <c r="AC16" i="17"/>
  <c r="AD5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500-000001000000}">
      <text>
        <r>
          <rPr>
            <b/>
            <sz val="9"/>
            <color indexed="81"/>
            <rFont val="MingLiU_HKSCS"/>
            <family val="1"/>
          </rPr>
          <t>Número consecutivo de acciones.</t>
        </r>
      </text>
    </comment>
    <comment ref="C11" authorId="0" shapeId="0" xr:uid="{00000000-0006-0000-0500-000002000000}">
      <text>
        <r>
          <rPr>
            <b/>
            <sz val="9"/>
            <color indexed="81"/>
            <rFont val="Tahoma"/>
            <family val="2"/>
          </rPr>
          <t>Descripción específica de las actividades a realizar en el cumplimiento de la implementación del subsistema.</t>
        </r>
      </text>
    </comment>
    <comment ref="D11" authorId="0" shapeId="0" xr:uid="{00000000-0006-0000-0500-000003000000}">
      <text>
        <r>
          <rPr>
            <b/>
            <sz val="9"/>
            <color indexed="81"/>
            <rFont val="Tahoma"/>
            <family val="2"/>
          </rPr>
          <t>Defina el área y cargo responsable de la ejecución de la actividad planteada.</t>
        </r>
      </text>
    </comment>
    <comment ref="E11" authorId="0" shapeId="0" xr:uid="{00000000-0006-0000-0500-000004000000}">
      <text>
        <r>
          <rPr>
            <b/>
            <sz val="9"/>
            <color indexed="81"/>
            <rFont val="Tahoma"/>
            <family val="2"/>
          </rPr>
          <t>Defina el indicador con el que se mide la actividad propuesta, o el producto esperado de la actividad propuesta.</t>
        </r>
      </text>
    </comment>
    <comment ref="F11" authorId="0" shapeId="0" xr:uid="{00000000-0006-0000-0500-000005000000}">
      <text>
        <r>
          <rPr>
            <b/>
            <sz val="9"/>
            <color indexed="81"/>
            <rFont val="Tahoma"/>
            <family val="2"/>
          </rPr>
          <t>Establezca la meta que se pretende alcanzar, en cumplimiento del indicador formulado.</t>
        </r>
      </text>
    </comment>
    <comment ref="I11" authorId="0" shapeId="0" xr:uid="{00000000-0006-0000-05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500-000007000000}">
      <text>
        <r>
          <rPr>
            <b/>
            <sz val="9"/>
            <color indexed="81"/>
            <rFont val="Tahoma"/>
            <family val="2"/>
          </rPr>
          <t>Debe corresponder al 100%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600-000001000000}">
      <text>
        <r>
          <rPr>
            <b/>
            <sz val="9"/>
            <color indexed="81"/>
            <rFont val="MingLiU_HKSCS"/>
            <family val="1"/>
          </rPr>
          <t>Número consecutivo de acciones.</t>
        </r>
      </text>
    </comment>
    <comment ref="C11" authorId="0" shapeId="0" xr:uid="{00000000-0006-0000-0600-000002000000}">
      <text>
        <r>
          <rPr>
            <b/>
            <sz val="9"/>
            <color indexed="81"/>
            <rFont val="Tahoma"/>
            <family val="2"/>
          </rPr>
          <t>Descripción específica de las actividades a realizar en el cumplimiento de la implementación del subsistema.</t>
        </r>
      </text>
    </comment>
    <comment ref="D11" authorId="0" shapeId="0" xr:uid="{00000000-0006-0000-0600-000003000000}">
      <text>
        <r>
          <rPr>
            <b/>
            <sz val="9"/>
            <color indexed="81"/>
            <rFont val="Tahoma"/>
            <family val="2"/>
          </rPr>
          <t>Defina el área y cargo responsable de la ejecución de la actividad planteada.</t>
        </r>
      </text>
    </comment>
    <comment ref="E11" authorId="0" shapeId="0" xr:uid="{00000000-0006-0000-0600-000004000000}">
      <text>
        <r>
          <rPr>
            <b/>
            <sz val="9"/>
            <color indexed="81"/>
            <rFont val="Tahoma"/>
            <family val="2"/>
          </rPr>
          <t>Defina el indicador con el que se mide la actividad propuesta, o el producto esperado de la actividad propuesta.</t>
        </r>
      </text>
    </comment>
    <comment ref="F11" authorId="0" shapeId="0" xr:uid="{00000000-0006-0000-0600-000005000000}">
      <text>
        <r>
          <rPr>
            <b/>
            <sz val="9"/>
            <color indexed="81"/>
            <rFont val="Tahoma"/>
            <family val="2"/>
          </rPr>
          <t>Establezca la meta que se pretende alcanzar, en cumplimiento del indicador formulado.</t>
        </r>
      </text>
    </comment>
    <comment ref="I11" authorId="0" shapeId="0" xr:uid="{00000000-0006-0000-06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600-000007000000}">
      <text>
        <r>
          <rPr>
            <b/>
            <sz val="9"/>
            <color indexed="81"/>
            <rFont val="Tahoma"/>
            <family val="2"/>
          </rPr>
          <t>Debe corresponder al 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700-000001000000}">
      <text>
        <r>
          <rPr>
            <sz val="10"/>
            <color rgb="FF000000"/>
            <rFont val="Arial"/>
            <family val="2"/>
          </rPr>
          <t>Número consecutivo de acciones.</t>
        </r>
      </text>
    </comment>
    <comment ref="C11" authorId="0" shapeId="0" xr:uid="{00000000-0006-0000-0700-000002000000}">
      <text>
        <r>
          <rPr>
            <sz val="10"/>
            <color rgb="FF000000"/>
            <rFont val="Arial"/>
            <family val="2"/>
          </rPr>
          <t>Descripción específica de las actividades a realizar en el cumplimiento de la implementación del subsistema.</t>
        </r>
      </text>
    </comment>
    <comment ref="D11" authorId="0" shapeId="0" xr:uid="{00000000-0006-0000-0700-000003000000}">
      <text>
        <r>
          <rPr>
            <sz val="10"/>
            <color rgb="FF000000"/>
            <rFont val="Arial"/>
            <family val="2"/>
          </rPr>
          <t>Defina el área y cargo responsable de la ejecución de la actividad planteada.</t>
        </r>
      </text>
    </comment>
    <comment ref="E11" authorId="0" shapeId="0" xr:uid="{00000000-0006-0000-0700-000004000000}">
      <text>
        <r>
          <rPr>
            <sz val="10"/>
            <color rgb="FF000000"/>
            <rFont val="Arial"/>
            <family val="2"/>
          </rPr>
          <t>Defina el indicador con el que se mide la actividad propuesta, o el producto esperado de la actividad propuesta.</t>
        </r>
      </text>
    </comment>
    <comment ref="F11" authorId="0" shapeId="0" xr:uid="{00000000-0006-0000-0700-000005000000}">
      <text>
        <r>
          <rPr>
            <sz val="10"/>
            <color rgb="FF000000"/>
            <rFont val="Arial"/>
            <family val="2"/>
          </rPr>
          <t>Establezca la meta que se pretende alcanzar, en cumplimiento del indicador formulado.</t>
        </r>
      </text>
    </comment>
    <comment ref="I11" authorId="0" shapeId="0" xr:uid="{00000000-0006-0000-0700-000006000000}">
      <text>
        <r>
          <rPr>
            <sz val="10"/>
            <color rgb="FF000000"/>
            <rFont val="Arial"/>
            <family val="2"/>
          </rPr>
          <t xml:space="preserve">Definir ponderación de la actividad (si se requiere)
</t>
        </r>
      </text>
    </comment>
    <comment ref="I12" authorId="0" shapeId="0" xr:uid="{00000000-0006-0000-0700-000007000000}">
      <text>
        <r>
          <rPr>
            <sz val="10"/>
            <color rgb="FF000000"/>
            <rFont val="Arial"/>
            <family val="2"/>
          </rPr>
          <t xml:space="preserve">Debe corresponder al 100%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800-000001000000}">
      <text>
        <r>
          <rPr>
            <b/>
            <sz val="9"/>
            <color indexed="81"/>
            <rFont val="MingLiU_HKSCS"/>
            <family val="1"/>
          </rPr>
          <t>Número consecutivo de acciones.</t>
        </r>
      </text>
    </comment>
    <comment ref="C11" authorId="0" shapeId="0" xr:uid="{00000000-0006-0000-0800-000002000000}">
      <text>
        <r>
          <rPr>
            <b/>
            <sz val="9"/>
            <color indexed="81"/>
            <rFont val="Tahoma"/>
            <family val="2"/>
          </rPr>
          <t>Descripción específica de las actividades a realizar en el cumplimiento de la implementación del subsistema.</t>
        </r>
      </text>
    </comment>
    <comment ref="D11" authorId="0" shapeId="0" xr:uid="{00000000-0006-0000-0800-000003000000}">
      <text>
        <r>
          <rPr>
            <b/>
            <sz val="9"/>
            <color indexed="81"/>
            <rFont val="Tahoma"/>
            <family val="2"/>
          </rPr>
          <t>Defina el área y cargo responsable de la ejecución de la actividad planteada.</t>
        </r>
      </text>
    </comment>
    <comment ref="E11" authorId="0" shapeId="0" xr:uid="{00000000-0006-0000-0800-000004000000}">
      <text>
        <r>
          <rPr>
            <b/>
            <sz val="9"/>
            <color indexed="81"/>
            <rFont val="Tahoma"/>
            <family val="2"/>
          </rPr>
          <t>Defina el indicador con el que se mide la actividad propuesta, o el producto esperado de la actividad propuesta.</t>
        </r>
      </text>
    </comment>
    <comment ref="F11" authorId="0" shapeId="0" xr:uid="{00000000-0006-0000-0800-000005000000}">
      <text>
        <r>
          <rPr>
            <b/>
            <sz val="9"/>
            <color indexed="81"/>
            <rFont val="Tahoma"/>
            <family val="2"/>
          </rPr>
          <t>Establezca la meta que se pretende alcanzar, en cumplimiento del indicador formulado.</t>
        </r>
      </text>
    </comment>
    <comment ref="I11" authorId="0" shapeId="0" xr:uid="{00000000-0006-0000-08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800-000007000000}">
      <text>
        <r>
          <rPr>
            <b/>
            <sz val="9"/>
            <color indexed="81"/>
            <rFont val="Tahoma"/>
            <family val="2"/>
          </rPr>
          <t>Debe corresponder al 100%</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900-000001000000}">
      <text>
        <r>
          <rPr>
            <sz val="10"/>
            <color rgb="FF000000"/>
            <rFont val="Arial"/>
            <family val="2"/>
          </rPr>
          <t>Número consecutivo de acciones.</t>
        </r>
      </text>
    </comment>
    <comment ref="C11" authorId="0" shapeId="0" xr:uid="{00000000-0006-0000-0900-000002000000}">
      <text>
        <r>
          <rPr>
            <sz val="10"/>
            <color rgb="FF000000"/>
            <rFont val="Arial"/>
            <family val="2"/>
          </rPr>
          <t>Descripción específica de las actividades a realizar en el cumplimiento de la implementación del subsistema.</t>
        </r>
      </text>
    </comment>
    <comment ref="D11" authorId="0" shapeId="0" xr:uid="{00000000-0006-0000-0900-000003000000}">
      <text>
        <r>
          <rPr>
            <sz val="10"/>
            <color rgb="FF000000"/>
            <rFont val="Arial"/>
            <family val="2"/>
          </rPr>
          <t>Defina el área y cargo responsable de la ejecución de la actividad planteada.</t>
        </r>
      </text>
    </comment>
    <comment ref="E11" authorId="0" shapeId="0" xr:uid="{00000000-0006-0000-0900-000004000000}">
      <text>
        <r>
          <rPr>
            <sz val="10"/>
            <color rgb="FF000000"/>
            <rFont val="Arial"/>
            <family val="2"/>
          </rPr>
          <t>Defina el indicador con el que se mide la actividad propuesta, o el producto esperado de la actividad propuesta.</t>
        </r>
      </text>
    </comment>
    <comment ref="F11" authorId="0" shapeId="0" xr:uid="{00000000-0006-0000-0900-000005000000}">
      <text>
        <r>
          <rPr>
            <sz val="10"/>
            <color rgb="FF000000"/>
            <rFont val="Arial"/>
            <family val="2"/>
          </rPr>
          <t>Establezca la meta que se pretende alcanzar, en cumplimiento del indicador formulado.</t>
        </r>
      </text>
    </comment>
    <comment ref="I11" authorId="0" shapeId="0" xr:uid="{00000000-0006-0000-0900-000006000000}">
      <text>
        <r>
          <rPr>
            <sz val="10"/>
            <color rgb="FF000000"/>
            <rFont val="Arial"/>
            <family val="2"/>
          </rPr>
          <t xml:space="preserve">Definir ponderación de la actividad (si se requiere)
</t>
        </r>
      </text>
    </comment>
    <comment ref="I12" authorId="0" shapeId="0" xr:uid="{00000000-0006-0000-0900-000007000000}">
      <text>
        <r>
          <rPr>
            <sz val="10"/>
            <color rgb="FF000000"/>
            <rFont val="Arial"/>
            <family val="2"/>
          </rPr>
          <t xml:space="preserve">Debe corresponder al 100%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A00-000001000000}">
      <text>
        <r>
          <rPr>
            <b/>
            <sz val="9"/>
            <color indexed="81"/>
            <rFont val="MingLiU_HKSCS"/>
            <family val="1"/>
          </rPr>
          <t>Número consecutivo de acciones.</t>
        </r>
      </text>
    </comment>
    <comment ref="C11" authorId="0" shapeId="0" xr:uid="{00000000-0006-0000-0A00-000002000000}">
      <text>
        <r>
          <rPr>
            <b/>
            <sz val="9"/>
            <color indexed="81"/>
            <rFont val="Tahoma"/>
            <family val="2"/>
          </rPr>
          <t>Descripción específica de las actividades a realizar en el cumplimiento de la implementación del subsistema.</t>
        </r>
      </text>
    </comment>
    <comment ref="D11" authorId="0" shapeId="0" xr:uid="{00000000-0006-0000-0A00-000003000000}">
      <text>
        <r>
          <rPr>
            <b/>
            <sz val="9"/>
            <color indexed="81"/>
            <rFont val="Tahoma"/>
            <family val="2"/>
          </rPr>
          <t>Defina el área y cargo responsable de la ejecución de la actividad planteada.</t>
        </r>
      </text>
    </comment>
    <comment ref="E11" authorId="0" shapeId="0" xr:uid="{00000000-0006-0000-0A00-000004000000}">
      <text>
        <r>
          <rPr>
            <b/>
            <sz val="9"/>
            <color indexed="81"/>
            <rFont val="Tahoma"/>
            <family val="2"/>
          </rPr>
          <t>Defina el indicador con el que se mide la actividad propuesta, o el producto esperado de la actividad propuesta.</t>
        </r>
      </text>
    </comment>
    <comment ref="F11" authorId="0" shapeId="0" xr:uid="{00000000-0006-0000-0A00-000005000000}">
      <text>
        <r>
          <rPr>
            <b/>
            <sz val="9"/>
            <color indexed="81"/>
            <rFont val="Tahoma"/>
            <family val="2"/>
          </rPr>
          <t>Establezca la meta que se pretende alcanzar, en cumplimiento del indicador formulado.</t>
        </r>
      </text>
    </comment>
    <comment ref="I11" authorId="0" shapeId="0" xr:uid="{00000000-0006-0000-0A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A00-000007000000}">
      <text>
        <r>
          <rPr>
            <b/>
            <sz val="9"/>
            <color indexed="81"/>
            <rFont val="Tahoma"/>
            <family val="2"/>
          </rPr>
          <t>Debe corresponder al 100%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B00-000001000000}">
      <text>
        <r>
          <rPr>
            <b/>
            <sz val="9"/>
            <color indexed="81"/>
            <rFont val="MingLiU_HKSCS"/>
            <family val="1"/>
          </rPr>
          <t>Número consecutivo de acciones.</t>
        </r>
      </text>
    </comment>
    <comment ref="C11" authorId="0" shapeId="0" xr:uid="{00000000-0006-0000-0B00-000002000000}">
      <text>
        <r>
          <rPr>
            <b/>
            <sz val="9"/>
            <color indexed="81"/>
            <rFont val="Tahoma"/>
            <family val="2"/>
          </rPr>
          <t>Descripción específica de las actividades a realizar en el cumplimiento de la implementación del subsistema.</t>
        </r>
      </text>
    </comment>
    <comment ref="D11" authorId="0" shapeId="0" xr:uid="{00000000-0006-0000-0B00-000003000000}">
      <text>
        <r>
          <rPr>
            <b/>
            <sz val="9"/>
            <color indexed="81"/>
            <rFont val="Tahoma"/>
            <family val="2"/>
          </rPr>
          <t>Defina el área y cargo responsable de la ejecución de la actividad planteada.</t>
        </r>
      </text>
    </comment>
    <comment ref="E11" authorId="0" shapeId="0" xr:uid="{00000000-0006-0000-0B00-000004000000}">
      <text>
        <r>
          <rPr>
            <b/>
            <sz val="9"/>
            <color indexed="81"/>
            <rFont val="Tahoma"/>
            <family val="2"/>
          </rPr>
          <t>Defina el indicador con el que se mide la actividad propuesta, o el producto esperado de la actividad propuesta.</t>
        </r>
      </text>
    </comment>
    <comment ref="F11" authorId="0" shapeId="0" xr:uid="{00000000-0006-0000-0B00-000005000000}">
      <text>
        <r>
          <rPr>
            <b/>
            <sz val="9"/>
            <color indexed="81"/>
            <rFont val="Tahoma"/>
            <family val="2"/>
          </rPr>
          <t>Establezca la meta que se pretende alcanzar, en cumplimiento del indicador formulado.</t>
        </r>
      </text>
    </comment>
    <comment ref="I11" authorId="0" shapeId="0" xr:uid="{00000000-0006-0000-0B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B00-000007000000}">
      <text>
        <r>
          <rPr>
            <b/>
            <sz val="9"/>
            <color indexed="81"/>
            <rFont val="Tahoma"/>
            <family val="2"/>
          </rPr>
          <t>Debe corresponder al 100%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C00-000001000000}">
      <text>
        <r>
          <rPr>
            <b/>
            <sz val="9"/>
            <color indexed="81"/>
            <rFont val="MingLiU_HKSCS"/>
            <family val="1"/>
          </rPr>
          <t>Número consecutivo de acciones.</t>
        </r>
      </text>
    </comment>
    <comment ref="C11" authorId="0" shapeId="0" xr:uid="{00000000-0006-0000-0C00-000002000000}">
      <text>
        <r>
          <rPr>
            <b/>
            <sz val="9"/>
            <color indexed="81"/>
            <rFont val="Tahoma"/>
            <family val="2"/>
          </rPr>
          <t>Descripción específica de las actividades a realizar en el cumplimiento de la implementación del subsistema.</t>
        </r>
      </text>
    </comment>
    <comment ref="D11" authorId="0" shapeId="0" xr:uid="{00000000-0006-0000-0C00-000003000000}">
      <text>
        <r>
          <rPr>
            <b/>
            <sz val="9"/>
            <color indexed="81"/>
            <rFont val="Tahoma"/>
            <family val="2"/>
          </rPr>
          <t>Defina el área y cargo responsable de la ejecución de la actividad planteada.</t>
        </r>
      </text>
    </comment>
    <comment ref="E11" authorId="0" shapeId="0" xr:uid="{00000000-0006-0000-0C00-000004000000}">
      <text>
        <r>
          <rPr>
            <b/>
            <sz val="9"/>
            <color indexed="81"/>
            <rFont val="Tahoma"/>
            <family val="2"/>
          </rPr>
          <t>Defina el indicador con el que se mide la actividad propuesta, o el producto esperado de la actividad propuesta.</t>
        </r>
      </text>
    </comment>
    <comment ref="F11" authorId="0" shapeId="0" xr:uid="{00000000-0006-0000-0C00-000005000000}">
      <text>
        <r>
          <rPr>
            <b/>
            <sz val="9"/>
            <color indexed="81"/>
            <rFont val="Tahoma"/>
            <family val="2"/>
          </rPr>
          <t>Establezca la meta que se pretende alcanzar, en cumplimiento del indicador formulado.</t>
        </r>
      </text>
    </comment>
    <comment ref="I11" authorId="0" shapeId="0" xr:uid="{00000000-0006-0000-0C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C00-000007000000}">
      <text>
        <r>
          <rPr>
            <b/>
            <sz val="9"/>
            <color indexed="81"/>
            <rFont val="Tahoma"/>
            <family val="2"/>
          </rPr>
          <t>Debe corresponder al 100%</t>
        </r>
        <r>
          <rPr>
            <sz val="9"/>
            <color indexed="81"/>
            <rFont val="Tahoma"/>
            <family val="2"/>
          </rPr>
          <t xml:space="preserve">
</t>
        </r>
      </text>
    </comment>
  </commentList>
</comments>
</file>

<file path=xl/sharedStrings.xml><?xml version="1.0" encoding="utf-8"?>
<sst xmlns="http://schemas.openxmlformats.org/spreadsheetml/2006/main" count="2726" uniqueCount="1529">
  <si>
    <t>PLAN ESTRATÉGICO CAPITAL 2021 - 2024
Y PLAN DE ACCIÓN INSTITUCIONAL 2021</t>
  </si>
  <si>
    <t>Versión:</t>
  </si>
  <si>
    <t>Fecha de Publicación:</t>
  </si>
  <si>
    <t>ALINEACIÓN ESTRATÉGICA 2021 - 2024</t>
  </si>
  <si>
    <t>PLAN DE ACCIÓN INSTITUCIONAL 2021</t>
  </si>
  <si>
    <t>1 Eficacia: (cumplimiento de metas)</t>
  </si>
  <si>
    <t>Correspondencia con ODS</t>
  </si>
  <si>
    <t>Correspondencia con PDD</t>
  </si>
  <si>
    <t>Correspondencia con MIPG</t>
  </si>
  <si>
    <t>Objetivo estratégico</t>
  </si>
  <si>
    <t>Iniciativa estratégica</t>
  </si>
  <si>
    <t>Meta</t>
  </si>
  <si>
    <t>Indicador de la iniciativa</t>
  </si>
  <si>
    <t>Tipo de Indicador (iniciativa)</t>
  </si>
  <si>
    <t>Proyecto / Plan</t>
  </si>
  <si>
    <t>Objetivo(s) del proyecto</t>
  </si>
  <si>
    <t>Entregable / producto</t>
  </si>
  <si>
    <t>Indicador del producto</t>
  </si>
  <si>
    <t>Tipo de Indicador (producto)</t>
  </si>
  <si>
    <t>Descripción del indicador</t>
  </si>
  <si>
    <t>Fórmula del indicador</t>
  </si>
  <si>
    <t>Unidad de medición</t>
  </si>
  <si>
    <t>Línea base</t>
  </si>
  <si>
    <t>Metas</t>
  </si>
  <si>
    <t>Costos</t>
  </si>
  <si>
    <t>Actividades</t>
  </si>
  <si>
    <t>Indicador de gestión</t>
  </si>
  <si>
    <t>Tipo de Indicador (gestión)</t>
  </si>
  <si>
    <t>Periodicidad</t>
  </si>
  <si>
    <t>Observaciones</t>
  </si>
  <si>
    <t>Líder estratégico</t>
  </si>
  <si>
    <t>Responsable de la medición</t>
  </si>
  <si>
    <t>2 Eficiencia: (uso de los recursos)</t>
  </si>
  <si>
    <t>3 Efectividad (impacto o beneficios generados)</t>
  </si>
  <si>
    <t>05 - Fortalecer la capacidad institucional de Capital para ser una empresa eficiente, sostenible y transparente.</t>
  </si>
  <si>
    <t>Adopción del enfoque integral de innovación pública de Capital</t>
  </si>
  <si>
    <t>Número de estrategias desarrolladas</t>
  </si>
  <si>
    <t>Diseño colaborativo de contenidos (Articulación con la estrategia de Gobierno Abierto de Bogotá - GABO).</t>
  </si>
  <si>
    <t>Número (#).</t>
  </si>
  <si>
    <t>No aplica.</t>
  </si>
  <si>
    <t>-</t>
  </si>
  <si>
    <t>Cumplimiento de las actividades de gestión, según su ponderación.</t>
  </si>
  <si>
    <t>Porcentaje (%)</t>
  </si>
  <si>
    <t>Trimestral.</t>
  </si>
  <si>
    <t>Ana María Ochoa - Asesora de planeación.</t>
  </si>
  <si>
    <t>Camilo Andrés Izquierdo - Profesional de planeación.</t>
  </si>
  <si>
    <t>Propósito 1
Logro de ciudad: 3 - 5
Propósito 5
Logro de ciudad: 30</t>
  </si>
  <si>
    <t>Gestión del conocimiento y la innovación.</t>
  </si>
  <si>
    <t>Adopción del enfoque integral gestión del conocimiento de Capital</t>
  </si>
  <si>
    <t>Implementar 1 estrategia de gestión del conocimiento.</t>
  </si>
  <si>
    <t>Impulso y apropiación de herramientas de lecciones aprendidas.</t>
  </si>
  <si>
    <t>Posicionar al interior de Capital la cultura de gestión del conocimiento</t>
  </si>
  <si>
    <t>Número de lecciones aprendidas consolidadas.</t>
  </si>
  <si>
    <t>Medir la cantidad de lecciones aprendidas que se consolidan en la herramienta.</t>
  </si>
  <si>
    <t>1. Definición de los proyectos a los cuales se les documentará lecciones aprendidas. (15%)
2. Elaboración de los documentos de lecciones aprendidas. (60%)
3. Presentación de resultados. (25%)</t>
  </si>
  <si>
    <t>Documento escrito del plan de Institucional de Capacitación</t>
  </si>
  <si>
    <t>Realizar el seguimiento al cumplimiento de las acciones definidas en el Plan Institucional de Capacitación de la vigencia 2021.</t>
  </si>
  <si>
    <t>Porcentaje (%).</t>
  </si>
  <si>
    <r>
      <t xml:space="preserve">1. Planificación </t>
    </r>
    <r>
      <rPr>
        <sz val="10"/>
        <rFont val="Arial"/>
        <family val="2"/>
      </rPr>
      <t xml:space="preserve">(20%) - Identificación de necesidades de capacitación y potencialidades de difusión de conocimiento en las áreas de la entidad.
</t>
    </r>
    <r>
      <rPr>
        <sz val="10"/>
        <color theme="1" tint="4.9989318521683403E-2"/>
        <rFont val="Arial"/>
        <family val="2"/>
      </rPr>
      <t xml:space="preserve">
2. Ejecución </t>
    </r>
    <r>
      <rPr>
        <sz val="10"/>
        <rFont val="Arial"/>
        <family val="2"/>
      </rPr>
      <t xml:space="preserve">(50%) - Elaboración y desarrollo de los eventos de capacitación y formación, según lo planificado.
</t>
    </r>
    <r>
      <rPr>
        <sz val="10"/>
        <color theme="1" tint="4.9989318521683403E-2"/>
        <rFont val="Arial"/>
        <family val="2"/>
      </rPr>
      <t xml:space="preserve">
3. Seguimiento al cumplimiento(20%) - Registro y memorias de las jornadas de capacitación y formación, evaluación de las jornadas.
4. Análisis y mejoramiento (10%) - Análisis de cumplimiento de expectativas, participación y lecciones aprendidas de las jornadas.</t>
    </r>
  </si>
  <si>
    <t>Juan David Vargas Manzanera - Subdirector Administrativo</t>
  </si>
  <si>
    <t>Sandra Paola Montilla
Profesional de Recursos Humanos</t>
  </si>
  <si>
    <t>16. Paz, justicia e instituciones sólidas.</t>
  </si>
  <si>
    <t>Propósito 5 
Logro de ciudad: 30</t>
  </si>
  <si>
    <t>Planeación estratégica.
Seguimiento y evaluación del desempeño institucional</t>
  </si>
  <si>
    <t>Fortalecimiento de la cultura de la planeación</t>
  </si>
  <si>
    <t>Lograr niveles de cumplimiento superiores al 95% en la implementación del Plan de Fortalecimiento institucional.</t>
  </si>
  <si>
    <t>Promedio de implementación de resultados del plan de fortalecimiento para las vigencias de medición.</t>
  </si>
  <si>
    <t>Plan de Fortalecimiento Institucional - PFI</t>
  </si>
  <si>
    <t>Seguimientos realizados al Plan de Fortalecimiento Institucional - PFI</t>
  </si>
  <si>
    <t>Porcentaje de cumplimiento de los resultados del plan de fortalecimiento institucional.</t>
  </si>
  <si>
    <t>1. Mensualmente adelantar seguimiento a los resultados del PFI para reporte al SPI.
2. Trimestralmente consolidar el avance para el reporte a proyectos de inversión en SEGPLAN.
3. Socializar los resultados del plan de fortalecimiento en las reuniones del equipo transversal.</t>
  </si>
  <si>
    <t>1. Número de seguimientos realizados al PFI / 12
2. Número de reportes de avances consolidados / 4
3. Número de socializaciones del plan de fortalecimiento / número de sesiones del equipo transversal del MIPG.</t>
  </si>
  <si>
    <t>Mensual.</t>
  </si>
  <si>
    <t>John Fredy García López - Profesional de Planeación.</t>
  </si>
  <si>
    <t>Lograr niveles de cumplimiento superiores al 90% en la rendición de informes e iniciativas de planeación.</t>
  </si>
  <si>
    <t>Promedio de cumplimiento en la rendición de informes e iniciativas de planeación, para las vigencias de medición.</t>
  </si>
  <si>
    <t>Implementación y seguimiento al cronograma anual de planeación.</t>
  </si>
  <si>
    <t>Establecer los criterios en materia de seguimientos que deben ser reportados a planeación por parte los diferentes responsables de las  temáticas de gestión establecidas.</t>
  </si>
  <si>
    <t xml:space="preserve">Balance del cumplimiento al reporte de acciones respecto a lo establecido en el cronograma anual de planeación </t>
  </si>
  <si>
    <t xml:space="preserve">Porcentaje del cumplimiento oportuno del cronograma de informes </t>
  </si>
  <si>
    <t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t>
  </si>
  <si>
    <t>Número de informes y/o reportes ejecutados oportunamente / Número total de informes y/o reportes programados para el periodo</t>
  </si>
  <si>
    <t>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t>
  </si>
  <si>
    <t>Equipo de planeación</t>
  </si>
  <si>
    <t>Lograr niveles de cumplimiento superiores al 90% en la planeación presupuestal a través del Plan Anual de Adquisiciones.</t>
  </si>
  <si>
    <t>Promedio de ejecución presupuestal de las áreas medido a través del Plan Anual de Adquisiciones - PAA.</t>
  </si>
  <si>
    <t>Plan anual de adquisiciones.</t>
  </si>
  <si>
    <t xml:space="preserve">Plan Anual de Adquisiciones actualizado en SECOP II. </t>
  </si>
  <si>
    <t xml:space="preserve">Porcentaje de cumplimiento del Plan Anual de Adquisiciones </t>
  </si>
  <si>
    <t>1. Elaboración del PAA de acuerdo con el anteproyecto de presupuesto para la siguiente vigencia (40%). 
2. Actualizar el PAA de acuerdo con los reportes del BOGDATA (40%)
3. Actualizaciones del PAA según solicitudes generadas por la diferentes áreas (20%).</t>
  </si>
  <si>
    <t>Hernán Guillermo Roncancio Herrera - Profesional universitario de planeación</t>
  </si>
  <si>
    <t>5. Igualdad de Género.
10. Reducción de las desigualdades.
11. Ciudades y comunidades sostenibles.
17. Alianzas para lograr los objetivos.</t>
  </si>
  <si>
    <t>Propósito 1
Logro de ciudad: 3 - 9 - 10
Propósito 3
Logro de ciudad: 22 - 23
Propósito 5
Logro de ciudad: 30</t>
  </si>
  <si>
    <t>Participación ciudadana en la gestión pública.</t>
  </si>
  <si>
    <t>02 - Consolidar una oferta de contenidos informativos, educativos y culturales, que promuevan la participación y la inclusión de la ciudadanía.</t>
  </si>
  <si>
    <t>Gestión integral de compromisos de Capital en las distintas políticas públicas poblacionales del distrito capital.</t>
  </si>
  <si>
    <t>Atender el 100% de los compromisos y requerimientos derivados de las políticas públicas poblaciones (PPP).</t>
  </si>
  <si>
    <t>Numero de compromisos atendidos.</t>
  </si>
  <si>
    <t>Gestión de los compromisos derivados de las Políticas públicas poblacionales, grupos étnicos  y grupos poblacionales</t>
  </si>
  <si>
    <t>Atender los compromisos adquiridos en el marco de las PPP en las cuales incide Capital.</t>
  </si>
  <si>
    <t>Matriz de consolidación de emisiones y reportes a grupos étnicos / grupos poblacionales.</t>
  </si>
  <si>
    <t>Porcentaje de cumplimiento a los compromisos gestionados por Capital.</t>
  </si>
  <si>
    <t>Se pretende establecer el nivel de cumplimiento de los compromisos que Capital ha adquirido en materia de las Políticas Públicas Poblacionales en las cuales tiene incidencia.</t>
  </si>
  <si>
    <t>Número de compromisos gestionados / Total de compromisos adquiridos</t>
  </si>
  <si>
    <t>René Alejandro Bastidas Plazas, Camilo Andrés Izquierdo Rojas - Profesionales de apoyo de planeación</t>
  </si>
  <si>
    <t>11. Ciudades y comunidades sostenibles.
17. Alianzas para lograr los objetivos.</t>
  </si>
  <si>
    <t>Propósito 5
Logro de ciudad: 27 - 30</t>
  </si>
  <si>
    <t>Transparencia, acceso a la información y lucha contra la corrupción.</t>
  </si>
  <si>
    <t>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t>
  </si>
  <si>
    <t>Desarrollo de estrategias de comunicación externa sobre acciones realizadas por Capital y con entidades del orden Distrital, Regional y Nacional con énfasis en enfoque cultural.</t>
  </si>
  <si>
    <t>Desarrollar 4 tácticas de impulso al posicionamiento de Capital en entidades públicas, privadas y ONG´s, para cada vigencia.</t>
  </si>
  <si>
    <t>Número de tácticas desarrolladas / Número de tácticas planeadas.</t>
  </si>
  <si>
    <t>Posicionamiento de Capital con entidades públicas, privadas y ONG´s en enfoque cultural.</t>
  </si>
  <si>
    <t>Crear trabajo conjunto con las entidades del Distrito y los canales regionales</t>
  </si>
  <si>
    <t>Informes semestrales del trabajo conjunto con las diferentes entidades.</t>
  </si>
  <si>
    <t>Informes semestrales de posicionamiento de capital  en entidades públicas, privadas y ONG´s en enfoque cultural.</t>
  </si>
  <si>
    <t>La medición para el producto propuesto consiste en la elaboración de un documento que reúna las actividades realizadas con insumos. (piezas, imágenes, links).</t>
  </si>
  <si>
    <t>Informes elaborados, que den cuenta de las actividades adelantadas / número de informes planeados.</t>
  </si>
  <si>
    <t>1. Participación en canales de información.
2. Levantamiento base de datos entidades distritales y canales regionales.
3. Acompañamiento trabajo conjunto áreas de Capital y entidades objetivo.</t>
  </si>
  <si>
    <t>En los costos definidos para las actividades están relacionados con el valor mensual de los contratistas del equipo de trabajo de comunicaciones que se encargan de la tarea.</t>
  </si>
  <si>
    <t>Inés Adriana Prieto - Coordinadora de Prensa y Comunicaciones.</t>
  </si>
  <si>
    <t>Litza Alarcón - Contratista Prensa y Comunicaciones.</t>
  </si>
  <si>
    <t>Lograr 1320 publicaciones en medios locales, regionales y nacionales.</t>
  </si>
  <si>
    <t>Número de publicaciones obtenidas / Número de publicaciones planificadas</t>
  </si>
  <si>
    <t>Posicionamiento de Capital con los medios de comunicación, influenciadores y generadores de opinión.</t>
  </si>
  <si>
    <t>Generar posicionamiento de Capital a través de la visibilización del contenido de la parrilla de programación, el talento y voceros designados.</t>
  </si>
  <si>
    <t>300 Publicaciones en medios locales, regionales y nacionales.</t>
  </si>
  <si>
    <t>Publicaciones en medios locales, regionales y nacionales.</t>
  </si>
  <si>
    <t>Publicaciones logradas por el trabajo de Free Press en los diferentes medios de comunicación.</t>
  </si>
  <si>
    <t>Número de publicaciones alcanzadas / Número de publicaciones proyectadas</t>
  </si>
  <si>
    <t>1. Recopilación de información. 
2. Redacción de artículos / boletines.
3. Aprobación del producto.
4. Envío a medios.
5. Seguimiento. 
6. Materialización de la publicación y/o entrevista.
7. Elaboración informe de gestión.</t>
  </si>
  <si>
    <t>Transparencia, acceso a la información y lucha contra la corrupción.
Fortalecimiento organizacional y simplificación de procesos.</t>
  </si>
  <si>
    <t>Acompañamiento a las estrategias de comunicación interna planeadas o definidas por Capital en sus diferentes proyectos.</t>
  </si>
  <si>
    <t>Lograr como mínimo 5 medios de comunicación intervenidos y/o establecidos</t>
  </si>
  <si>
    <t>Medios de comunicación intervenidos y/o establecidos /  Medios de comunicación planeados para intervenir.</t>
  </si>
  <si>
    <t>Análisis y fortalecimiento de canales de comunicación, nuevos y existentes.</t>
  </si>
  <si>
    <t>Informe semestral sobre las acciones realizadas</t>
  </si>
  <si>
    <t>Descripción de los medios de comunicación interna intervenidos.</t>
  </si>
  <si>
    <t>1. Análisis de medios internos
2. Intervención - mejora
3. Posicionamiento nuevos medios.</t>
  </si>
  <si>
    <t>Silvio López - Contratista Prensa y Comunicaciones.</t>
  </si>
  <si>
    <t>Lograr el apoyo al 90% de campañas institucionales.</t>
  </si>
  <si>
    <t>Campañas ejecutadas de cada temática / Campañas solicitadas para cada temática</t>
  </si>
  <si>
    <t>Impulsar el sentido de pertenencia por la marca.</t>
  </si>
  <si>
    <t>Trabajar con el área de Talento Humano para fortalecer la Cultura Organizacional y fomentar el sentido de pertenencia</t>
  </si>
  <si>
    <t>*Definición de acciones con RRHH.
*Recopilación de información
*Realización de piezas gráficas.
*Socialización</t>
  </si>
  <si>
    <t>Número de acciones propuestas/Número de acciones realizadas</t>
  </si>
  <si>
    <t>Fortalecer y desarrollar la divulgación de la campaña de Bioseguridad de Capital.</t>
  </si>
  <si>
    <t xml:space="preserve"> Trabajar con el área de Talento Humano para el desarrollo de la campaña.</t>
  </si>
  <si>
    <t>Creación de piezas gráficas, publicaciones, videos y boletines para socializar la campaña.</t>
  </si>
  <si>
    <t>*Definición de acciones con RRHH.
*Recopilación de información
*Realización de piezas gráficas, videos.
*Socialización</t>
  </si>
  <si>
    <t>Divulgar y fortalecer las campañas de comunicación interna de las diferentes áreas.</t>
  </si>
  <si>
    <t>Desarrollar un trabajo conjunto con las áreas responsables de la campaña o proyecto.</t>
  </si>
  <si>
    <t>Definición del protocolo de procesos de divulgación y ejecución de campañas/proyectos.</t>
  </si>
  <si>
    <t>*Reunión de presentación de campaña y estrategia.
*Definición del plan táctico para ejecutar la estrategia de la campaña.
*Ejecución del plan.</t>
  </si>
  <si>
    <t>3. Salud y bienestar.
4. Educación de calidad.
5. Igualdad de Género.
9. Industria, innovación e infraestructura.
10. Reducción de las desigualdades.
17. Alianzas para lograr los objetivos.</t>
  </si>
  <si>
    <t>Cocreación con el sector audiovisual local garantizando múltiples miradas de Bogotá - región, así como, la innovación en los procesos de diseño, producción y/o circulación de contenidos.</t>
  </si>
  <si>
    <t>Desarrollar 4 estrategias que incentiven la cocreación  con el sector audiovisual local (1 por vigencia).</t>
  </si>
  <si>
    <t>Número de estrategias ejecutadas para la cocreación con el sector audiovisual local.</t>
  </si>
  <si>
    <t>Proyecto audiovisual de cocreación de contenidos con el sector audiovisual local.</t>
  </si>
  <si>
    <t>Condiciones de participación de llamados públicos socializados.</t>
  </si>
  <si>
    <t>Cumplimiento del porcentaje de avance del proceso completo (suma de las actividades de gestión).</t>
  </si>
  <si>
    <t>Jerson Jussef Parra Ramírez - Director Operativo.</t>
  </si>
  <si>
    <t>Líder de contenidos de ciudadanía, cultura y educación</t>
  </si>
  <si>
    <t>Cocreación con los ciudadanos de todas las edades garantizando múltiples miradas de Bogotá - región, así como, la innovación en los procesos de diseño, producción y/o circulación de contenidos.</t>
  </si>
  <si>
    <t>Número de estrategias ejecutadas para la cocreación con la ciudadanía.</t>
  </si>
  <si>
    <t>Proyecto audiovisual de cocreación de contenidos con la ciudadanía (diseño, producción y circulación de contenidos).</t>
  </si>
  <si>
    <t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t>
  </si>
  <si>
    <t>Contenido audiovisual circulando en las pantallas de Capital.</t>
  </si>
  <si>
    <t>1. Diseño de proyecto
2. Contratación de recursos para desarrollo del proyecto
3. Producción del proyecto
4. Circulación del proyecto</t>
  </si>
  <si>
    <t>Proyecto audiovisual de cocreación de contenidos con la ciudadanía (interacción y relacionamiento).</t>
  </si>
  <si>
    <t>04 - Consolidar a Capital como empresa referente en el desarrollo de estrategias de comunicación pública de Bogotá región.</t>
  </si>
  <si>
    <t>Consolidación del diseño, producción y circulación  de estrategias de comunicación pública como línea de negocio misional de Capital.</t>
  </si>
  <si>
    <t>Desarrollar 4 estrategias que incrementen el porcentaje de participación de proyectos de comunicación pública en el total de ingresos de Capital. (1 por año).</t>
  </si>
  <si>
    <t>Estrategias implementadas / estrategias planeadas</t>
  </si>
  <si>
    <t>Promoción de capital como empresa idónea para las  estrategias de comunicación pública entre potenciales clientes / aliados.</t>
  </si>
  <si>
    <t>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t>
  </si>
  <si>
    <t>Presentación del informe de resultado de la actividad.</t>
  </si>
  <si>
    <t>Porcentaje de ejecución del proceso para la realización de la actividad propuesta.</t>
  </si>
  <si>
    <t>Líder de proyectos estratégicos</t>
  </si>
  <si>
    <t>Estrategia para la generación de ingresos a través del diseño y desarrollo de proyectos de comunicación pública</t>
  </si>
  <si>
    <t>9. Industria, innovación e infraestructura.
16. Paz, justicia e instituciones sólidas.</t>
  </si>
  <si>
    <t>Propósito 1
Logro de ciudad: 5
Propósito 5
Logro de ciudad: 29 - 30</t>
  </si>
  <si>
    <t>Gobierno Digital.</t>
  </si>
  <si>
    <t>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t>
  </si>
  <si>
    <t xml:space="preserve">Optimización de presencias digitales </t>
  </si>
  <si>
    <t>Numero de estrategias digitales implementadas para cada vigencia / número de estrategias digitales planificadas para cada vigencia</t>
  </si>
  <si>
    <t xml:space="preserve">Rediseño de página web y optimización del canal de YouTube de capital </t>
  </si>
  <si>
    <t>Realizar acciones que potencialicen los recursos internos disponibles por Capital para unificar las páginas web de capital en una sola y cumplir con los lineamientos de gobierno en línea</t>
  </si>
  <si>
    <t>El costo de la propuesta para 2021 oscila entre 100´000,000 - 150´000,000</t>
  </si>
  <si>
    <t xml:space="preserve">Estandarización de lineamientos internos para el fortalecimiento de la interacción en redes sociales </t>
  </si>
  <si>
    <t xml:space="preserve">Documento de relacionamiento con las audiencias a través de las redes sociales </t>
  </si>
  <si>
    <t>Gestión documental y archivo.</t>
  </si>
  <si>
    <t>Fortalecimiento a la gestión documental para el uso adecuado e implementación de los instrumentos archivísticos en Canal Capital</t>
  </si>
  <si>
    <t>Cumplir al 100% los requerimientos del archivo sobre la implementación de instrumentos archivísticos.</t>
  </si>
  <si>
    <t xml:space="preserve">No de transferencias secundarias y actualizaciones de las TRD realizadas </t>
  </si>
  <si>
    <t>Plan Institucional de Archivos PINAR</t>
  </si>
  <si>
    <t>Acta de transferencia secundaria y aprobación de las TRD</t>
  </si>
  <si>
    <t>Se define el costo en:
Coordinador de Gestión Documental
Apoyo Profesional Gestión Documental
Técnico Gestión Documental
2 Auxiliares de Archivo
Compra de unidades de conservación (cajas y carpetas).</t>
  </si>
  <si>
    <t>Grupo
Gestión Documental</t>
  </si>
  <si>
    <t>Propósito 5
Logro de ciudad: 29 - 30</t>
  </si>
  <si>
    <t>Gestión presupuestal y eficiencia del gasto público.
Seguimiento y evaluación del desempeño institucional.</t>
  </si>
  <si>
    <t>Lograr el 98% de cumplimiento de los compromisos establecidos cada vigencia en materia de gestión de la subdirección administrativa.</t>
  </si>
  <si>
    <t>Cumplimiento de las acciones para el funcionamiento adecuado de la Entidad</t>
  </si>
  <si>
    <t>Plan Estratégico de la Subdirección Administrativa para la vigencia.</t>
  </si>
  <si>
    <t>Garantizar el correcto funcionamiento Administrativo de cada una de las áreas de la Subdirección Administrativo</t>
  </si>
  <si>
    <t>Informe de Gestión Anual</t>
  </si>
  <si>
    <t>Realizar seguimiento al cumplimiento del plan estratégico de la subdirección Administrativa 2021- 2024</t>
  </si>
  <si>
    <t xml:space="preserve">1. Planear (30%)
2  Ejecutar (40%)
3. Seguimiento (10%)
4.Analisis y mejoramiento (10%)
</t>
  </si>
  <si>
    <t>Cumplimiento de las actividades planeadas del plan estratégico de la subdirección Administrativa</t>
  </si>
  <si>
    <t>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t>
  </si>
  <si>
    <t>Sandra Paola Montilla
Profesional de Recursos Humanos
Natalia Lara Alba - Técnico de Servicio Administrativos 
Grupo Gestión Documental
Mauris Ávila
Profesional en sistemas</t>
  </si>
  <si>
    <t xml:space="preserve">Adquirir e implementar un (1) sistema de inventario acorde a las necesidades del Canal. </t>
  </si>
  <si>
    <t xml:space="preserve">Sistema de inventario adquirido y 100% implementado. </t>
  </si>
  <si>
    <t>Adquisición de un nuevo sistema de inventario.</t>
  </si>
  <si>
    <t>Justificar la necesidad y realizar la adquisición de un sistema de inventarios confiable, que permita realizar reportes, estadísticas e informes, y que sea la única base de información de bienes del Canal entre el área administrativa y el área de contabilidad.</t>
  </si>
  <si>
    <t>Medir la gestión que se realice para la asignación presupuestal para dar cabida a la adquisición de un nuevo sistema de inventario.</t>
  </si>
  <si>
    <t>Avances Estudio de Mercado / Estudio de Mercado Aprobado</t>
  </si>
  <si>
    <t>* Estudio de Mercado 10%
* Presentación y Justificación del Proyecto 20%
* Adquisición nuevo sistema de inventarios 50%
*Implementación 20%</t>
  </si>
  <si>
    <t>Implementar un sistema eficiente para el control de inventarios, junto con herramientas que faciliten la toma física de los bienes con tecnología de código de barras. El desarrollo del proyecto dependerá de los recursos que se asignen al mismo.</t>
  </si>
  <si>
    <t xml:space="preserve">Natalia Lara Alba - Técnico de Servicio Administrativos </t>
  </si>
  <si>
    <t>Llevar a cabo el 100% de las adecuaciones de la casa de la 69.</t>
  </si>
  <si>
    <t>Intervenciones a la casa de la 69 realizadas / Intervenciones a la casa de la 69 realizadas</t>
  </si>
  <si>
    <t>Intervenciones iniciales de adecuación de la casa de la 69 respecto a la planificación establecida por el área.</t>
  </si>
  <si>
    <t>Mantener en óptimas condiciones las instalaciones, dado que este bien es catalogado como un bien de Patrimonio Cultural.</t>
  </si>
  <si>
    <t>Adecuaciones de la casa de la 69, en los siguientes aspectos: 
Herrajes de ventanería y puertas.
Ventanas 
Paredes</t>
  </si>
  <si>
    <t>Con este indicador se pretende medir el avance en el cumplimiento de las intervenciones realizadas a la casa de acuerdo con la disponibilidad presupuestal y la programación establecida.</t>
  </si>
  <si>
    <t>Número de intervenciones realizadas / Número de Intervenciones Programadas.</t>
  </si>
  <si>
    <t>Adecuación de portería de la casa de la 69.  50%
Instalación de herrajes. 10%
Compra e instalación de vidrios. 10%
Pintura y mantenimiento de la casa. 20%</t>
  </si>
  <si>
    <t>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t>
  </si>
  <si>
    <t>Modernización tecnológica de Canal Capital a través de la compra de equipos móviles.</t>
  </si>
  <si>
    <t>Modernización de los equipos móviles de Canal Capital.</t>
  </si>
  <si>
    <t>Gobierno Digital.
Seguridad Digital.</t>
  </si>
  <si>
    <t>Fortalecimiento de los servicios de tecnológicos, misionales y administrativos de Capital, bajo criterios de seguridad y privacidad de la información.</t>
  </si>
  <si>
    <t>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t>
  </si>
  <si>
    <t>Promedio de implementación de resultados del Plan Estratégico de Tecnologías de la Información - PETI 2021 - 2024para las vigencias de medición.</t>
  </si>
  <si>
    <t>Plan Estratégico de Tecnologías de la Información - PETI 2021</t>
  </si>
  <si>
    <t>Ejecutar el mapa de Ruta del PETI a partir del compendio de Proyectos de Tecnología de la entidad.</t>
  </si>
  <si>
    <t>Cumplimiento de actividades del PETI</t>
  </si>
  <si>
    <t>1. Planificación (20%)
2. Ejecución (80%)
3. Seguimiento al cumplimiento
4. Análisis y mejoramiento</t>
  </si>
  <si>
    <t>PETIC 2021-2024 ejecutado</t>
  </si>
  <si>
    <t>Derivado del presupuesto de inversión para el Fortalecimiento de la capacidad administrativa y tecnológica para la gestión institucional de Capital</t>
  </si>
  <si>
    <t>Mauris Ávila - Profesional de sistemas</t>
  </si>
  <si>
    <t>Promedio de implementación de resultados del Plan de Seguridad y Privacidad de la Información para las vigencias de medición.</t>
  </si>
  <si>
    <t>Plan de Seguridad y Privacidad de la Información</t>
  </si>
  <si>
    <t>Cumplimiento de actividades del Plan de seguridad y privacidad de la información</t>
  </si>
  <si>
    <t>Realizar el seguimiento al cumplimiento de las actividades programadas en el Plan de seguridad y privacidad de la información</t>
  </si>
  <si>
    <t>Plan de seguridad y privacidad de la información implementado</t>
  </si>
  <si>
    <t>Promedio de implementación de resultados del Plan de tratamiento de riesgos de seguridad y privacidad de la información para las vigencias de medición.</t>
  </si>
  <si>
    <t>Plan de tratamiento de riesgos de seguridad y privacidad de la información.</t>
  </si>
  <si>
    <t>Cumplimiento de actividades del Plan de tratamiento de riesgos de seguridad y privacidad de la información</t>
  </si>
  <si>
    <t>Realizar el seguimiento al cumplimiento de las actividades programadas en el Plan de tratamiento de riesgos de seguridad y privacidad de la información</t>
  </si>
  <si>
    <t>Plan de tratamiento de riesgos de seguridad y privacidad de la información implementado</t>
  </si>
  <si>
    <t>3. Salud y bienestar.
8. Trabajo decente y crecimiento económico.
11. Ciudades y comunidades sostenibles.
16. Paz, justicia e instituciones sólidas.</t>
  </si>
  <si>
    <t>Propósito 1
Logro de ciudad: 3
Propósito 5
Logro de ciudad: 30</t>
  </si>
  <si>
    <t>Gestión estratégica del talento humano.
Integridad</t>
  </si>
  <si>
    <t>Promoción del desarrollo integral de los colaboradores del Canal.</t>
  </si>
  <si>
    <t>Lograr la ejecución del 95% de los planes institucionales de recursos humanos (Plan estratégico de Recursos Humanos, Plan de bienestar e incentivos, Plan del Subsistema de Gestión de Seguridad y Salud en el Trabajo, SG-SST y Plan de integridad).</t>
  </si>
  <si>
    <t>Promedio de implementación de resultados del Plan estratégico de Recursos Humanos para las vigencias de medición.</t>
  </si>
  <si>
    <t>Plan estratégico de Recursos Humanos</t>
  </si>
  <si>
    <t>Documento escrito del plan de estratégico de Recursos Humanos 2021-2024</t>
  </si>
  <si>
    <t>Realizar seguimiento al cumplimiento de las acciones definidas en el Plan Estratégico de Recursos Humanos de la vigencia 2021.</t>
  </si>
  <si>
    <r>
      <t xml:space="preserve">1. Planificación </t>
    </r>
    <r>
      <rPr>
        <sz val="10"/>
        <rFont val="Arial"/>
        <family val="2"/>
      </rPr>
      <t>(20%)</t>
    </r>
    <r>
      <rPr>
        <sz val="10"/>
        <color theme="1" tint="4.9989318521683403E-2"/>
        <rFont val="Arial"/>
        <family val="2"/>
      </rPr>
      <t xml:space="preserve">
2. Ejecución </t>
    </r>
    <r>
      <rPr>
        <sz val="10"/>
        <rFont val="Arial"/>
        <family val="2"/>
      </rPr>
      <t>(50%)</t>
    </r>
    <r>
      <rPr>
        <sz val="10"/>
        <color theme="1" tint="4.9989318521683403E-2"/>
        <rFont val="Arial"/>
        <family val="2"/>
      </rPr>
      <t xml:space="preserve">
3. Seguimiento al cumplimiento(20%)
4. Análisis y mejoramiento(10%)</t>
    </r>
  </si>
  <si>
    <r>
      <t xml:space="preserve">Indicador de cumplimiento del plan estratégico de recursos humanos
</t>
    </r>
    <r>
      <rPr>
        <sz val="10"/>
        <rFont val="Arial"/>
        <family val="2"/>
      </rPr>
      <t>Cumplimiento de las actividades planeadas / el total de las actividades programadas en la materia. 
Plan Estratégico de Recursos Humanos implementado</t>
    </r>
  </si>
  <si>
    <t>El presupuesto esta compuesto por los recursos del 3-1-1-02-04 remuneración de servicios técnicos, de Diana Martínez apoyo administrativo del área.</t>
  </si>
  <si>
    <t>Sandra Paola Montilla - Profesional de Recursos Humanos</t>
  </si>
  <si>
    <t>Promedio de implementación de resultados del Plan de bienestar e incentivos para las vigencias de medición.</t>
  </si>
  <si>
    <t xml:space="preserve">Plan de bienestar e incentivos </t>
  </si>
  <si>
    <t xml:space="preserve">Documento escrito del plan de Bienestar e Incentivos </t>
  </si>
  <si>
    <t>Realizar el seguimiento al cumplimiento de las acciones definidas en el Plan de Bienestar e incentivos de la vigencia 2021.</t>
  </si>
  <si>
    <r>
      <t xml:space="preserve">Indicador de cumplimiento del Plan de Bienestar e Incentivos 
</t>
    </r>
    <r>
      <rPr>
        <sz val="10"/>
        <rFont val="Arial"/>
        <family val="2"/>
      </rPr>
      <t>Cumplimiento de las actividades planeadas / el total de las actividades programadas en la materia. 
Plan de bienestar e incentivos implementado</t>
    </r>
  </si>
  <si>
    <t>Promedio de implementación de resultados del  Plan del Subsistema de Gestión de Seguridad y Salud en el Trabajo, SG-SST para las vigencias de medición.</t>
  </si>
  <si>
    <t xml:space="preserve"> Plan del Subsistema de Gestión de Seguridad y Salud en el Trabajo, SG-SST </t>
  </si>
  <si>
    <t>Documento escrito del plan de Seguridad y Salud en el trabajo</t>
  </si>
  <si>
    <t>Realizar el seguimiento al cumplimiento de las acciones definidas en el Plan de Seguridad y Salud en el trabajo de la vigencia 2021.</t>
  </si>
  <si>
    <t>1. Planificación (20%)
2. Ejecución (50%)
3. Seguimiento al cumplimiento
4. Análisis y mejoramiento</t>
  </si>
  <si>
    <t>Indicador de cumplimiento del Plan de Seguridad y Salud en el Trabajo.
Cumplimiento de las actividades planeadas / el total de las actividades programadas en la materia. 
Plan de Seguridad y salud en el trabajo implementado</t>
  </si>
  <si>
    <t>Esta meta esta compuesta por los siguientes rubros:
1. 3-4-1-16-05-56-7511-000  Fortalecimiento de la capacidad administrativa y tecnológica para la gestión institucional de Capital - Contrato de Juan Carlos Poveda $60.306.000
2. 3-1-2-02-13 - Salud Ocupacional $47.800.776</t>
  </si>
  <si>
    <t>Promedio de implementación de resultados del Plan de Integridad para las vigencias de medición.</t>
  </si>
  <si>
    <t>Plan de Integridad</t>
  </si>
  <si>
    <t>Identificar las acciones encaminadas a la socialización y fortalecimiento del Código de Integridad de Canal Capital.</t>
  </si>
  <si>
    <t>Documento escrito del plan de integridad</t>
  </si>
  <si>
    <t>Realizar el seguimiento al cumplimiento de las acciones definidas en el Plan de integridad de la vigencia 2021.</t>
  </si>
  <si>
    <t>Indicador de cumplimiento del Plan de Integridad.
Cumplimiento de las actividades planeadas / el total de las actividades programadas en la materia. 
Plan de Integridad implementado</t>
  </si>
  <si>
    <t>6. Agua limpia y saneamiento.
7. Energía asequible y no contaminante.
12. Producción  y consumo responsable.
13. Acción por el clima.
15. Vida de ecosistemas terrestres.</t>
  </si>
  <si>
    <t>Propósito 2
Logro de ciudad: 14 - 18 - 20
Propósito 5
Logro de ciudad: 30</t>
  </si>
  <si>
    <t>Gestión Ambiental</t>
  </si>
  <si>
    <t>Fortalecimiento de la cultura ambiental de Capital.</t>
  </si>
  <si>
    <t xml:space="preserve">Cumplir con el 100% de las metas anuales programadas respecto al Plan de Acción PIGA para cada vigencia </t>
  </si>
  <si>
    <t>Porcentaje de cumplimiento del PIGA respecto a la programación anual del Plan de Acción</t>
  </si>
  <si>
    <t>Plan institucional de Gestión Ambiental - PIGA</t>
  </si>
  <si>
    <t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t>
  </si>
  <si>
    <t>Plan de Acción PIGA implementado y con seguimientos</t>
  </si>
  <si>
    <t>Se espera llevar el seguimiento de la implementación de las acciones establecidas en el Plan de Acción PIGA para cada vigencia en coherencia con la concertación para el periodo 2021-2024</t>
  </si>
  <si>
    <t>(No. De actividades ejecutadas / No. De actividades programadas)*100%</t>
  </si>
  <si>
    <t>Formulación del Plan de Acción anual PIGA (15%)
Ejecución de las actividades programadas (70%)
Seguimiento semestral del Plan de Acción para informes ante la SDA. (15%)</t>
  </si>
  <si>
    <t>Julio Alberto Novoa Campos - Profesional de Planeación (referente ambiental)</t>
  </si>
  <si>
    <t>8. Trabajo decente y crecimiento económico.
16. Paz, justicia e instituciones sólidas.</t>
  </si>
  <si>
    <t>Propósito 5
Logro de ciudad: 30</t>
  </si>
  <si>
    <t>Gestión presupuestal y eficiencia del gasto público.</t>
  </si>
  <si>
    <t>Plan estratégico financiero como mecanismo para la  optimización y eficiencia de los recursos económicos.</t>
  </si>
  <si>
    <t>Valor recaudado en ingresos / Gastos comprometidos</t>
  </si>
  <si>
    <t>Finanzas para pensar</t>
  </si>
  <si>
    <t>Número (#)</t>
  </si>
  <si>
    <t>El presupuesto distribuido corresponde con el valor global asignado al equipo de la Subdirección Financiera.</t>
  </si>
  <si>
    <t>Orlando Barbosa Silva - Subdirector Financiero</t>
  </si>
  <si>
    <t xml:space="preserve">1. Angela Payares - Profesional de presupuesto            </t>
  </si>
  <si>
    <t xml:space="preserve">3. Elaborar los flujos de caja mensuales          </t>
  </si>
  <si>
    <t>Fortalecimiento organizacional y simplificación de procesos.
Racionalización de trámites.</t>
  </si>
  <si>
    <t>Sistematización de la gestión contractual</t>
  </si>
  <si>
    <t>Implementación de las fases 1 y 2 del software de gestión contractual</t>
  </si>
  <si>
    <t>Catalina 
Moncada Cano -  Secretaria General</t>
  </si>
  <si>
    <t>Andrea Paola Sánchez García y Luis Eduardo Páez Pacheco - Asesores jurídicos</t>
  </si>
  <si>
    <t>Fortalecimiento organizacional y simplificación de procesos.</t>
  </si>
  <si>
    <t>Mejoramiento del régimen de contratación y de los documentos de la gestión contractual</t>
  </si>
  <si>
    <t xml:space="preserve">Revisión y actualización, de ser necesario, del Manual de contratación, supervisión e interventoría </t>
  </si>
  <si>
    <t>Revisar y actualizar, de ser necesario, el Manual de contratación, supervisión e interventoría de conformidad con el régimen contractual aplicable a la entidad</t>
  </si>
  <si>
    <t>Manual de contratación, supervisión e interventoría revisado y actualizado, de ser necesario</t>
  </si>
  <si>
    <t>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t>
  </si>
  <si>
    <t>(Actividades/5)*100%</t>
  </si>
  <si>
    <t>Los costos asociados para las vigencias 2021 - 2024 corresponden a los honorarios de la asesora jurídica con el incremento respectivo</t>
  </si>
  <si>
    <t>Andrea Paola Sánchez García - Asesora jurídica</t>
  </si>
  <si>
    <t>Revisión y actualización, de ser necesario, de la documentación asociada al proceso de gestión jurídica y contractual</t>
  </si>
  <si>
    <t>Karen Paola Cruz Triana - Profesional universitaria de Jurídica</t>
  </si>
  <si>
    <t>Defensa jurídica.</t>
  </si>
  <si>
    <t>Fortalecimiento de la defensa jurídica</t>
  </si>
  <si>
    <t>Elaboración y actualización, de ser necesario, de la política de prevención de daño jurídico</t>
  </si>
  <si>
    <t>11. Ciudades y comunidades sostenibles.
16. Paz, justicia e instituciones sólidas.</t>
  </si>
  <si>
    <t>Seguimiento y evaluación del desempeño institucional.
Control Interno.</t>
  </si>
  <si>
    <t>Evaluación y recomendaciones estratégicas de valor a la gestión institucional</t>
  </si>
  <si>
    <t xml:space="preserve">Cumplir con el 100% de las acciones establecidas en el Plan Anual de Auditoría </t>
  </si>
  <si>
    <t xml:space="preserve">Porcentaje promedio de Cumplimiento de las actividades anuales del Plan Anual de Auditoría </t>
  </si>
  <si>
    <t xml:space="preserve">Plan Anual de Auditoría </t>
  </si>
  <si>
    <t>Adelantar actividades de aseguramiento y consultoría de forma objetiva e independiente a los diferentes procesos, proyectos y políticas de Capital buscando generar valor a la entidad.</t>
  </si>
  <si>
    <t>Informes, seguimientos, Tips, Actas de reunión y Capacitaciones</t>
  </si>
  <si>
    <t>Actividades de aseguramiento y Consultoría</t>
  </si>
  <si>
    <t xml:space="preserve">Monitorear el cumplimiento de las actividades establecidas en el Plan Anual de Auditoría </t>
  </si>
  <si>
    <t>(Número de actividades cumplidas del Plan Anual de Auditorías a la fecha de seguimiento / Número de actividades programadas en el Plan Anual de Auditorías a la fecha de corte)*100%.</t>
  </si>
  <si>
    <t xml:space="preserve">Ejecutar las actividades formuladas en el Plan Anual de Auditoría  </t>
  </si>
  <si>
    <t>(Número de actividades cumplidas del Plan Anual de Auditorías a la fecha de corte / Número de actividades programadas en el Plan Anual de Auditorías a la fecha de corte)*100%.</t>
  </si>
  <si>
    <t>Néstor Fernando Avella - Jefe Oficina de Control Interno</t>
  </si>
  <si>
    <t xml:space="preserve">Henry Guillermo Beltrán Martínez - 
Contratista Profesional Oficina de Control Interno </t>
  </si>
  <si>
    <t xml:space="preserve">Realizar seguimiento a las acciones formuladas en el Plan de Mejoramiento por procesos </t>
  </si>
  <si>
    <t>(Número de acciones cumplidas con fecha vencida del Plan de Mejoramiento por procesos a la fecha de corte / Número de acciones vencidas con estado abierto del Plan de Mejoramiento por procesos a la fecha de corte)*100%.</t>
  </si>
  <si>
    <t>Cuatrimestral.</t>
  </si>
  <si>
    <t>Realizar seguimiento a las actividades que se establezcan anualmente en el PAAC</t>
  </si>
  <si>
    <t>(Avances en el cumplimiento de las acciones programadas en el Plan Anticorrupción y de Atención al Ciudadano - PAAC / Total de acciones programadas en el Plan Anticorrupción y de Atención al Ciudadano - PAAC)*100%.</t>
  </si>
  <si>
    <t>Misión:</t>
  </si>
  <si>
    <t>Capital es el Sistema de comunicación pública de Bogotá región que ubica a la ciudadanía en el centro de su operación y, mediante la inteligencia colectiva, aporta a la construcción de una sociedad participativa e incluyente, a través de la producción y circulación de contenidos informativos, culturales y educativos en múltiples plataformas y del desarrollo de estrategias de comunicación relevantes para los grupos de interés.</t>
  </si>
  <si>
    <t>Visión:</t>
  </si>
  <si>
    <t>En 2024 Capital será el sistema de comunicación pública motor de la innovación audiovisual de Bogotá región, reconocido y valorado por la ciudadanía como espacio de participación y pluralidad, garante del libre acceso a la información y generación de conocimiento en la ciudad, bajo un modelo de operación eficiente.</t>
  </si>
  <si>
    <t>Objetivos estratégicos:</t>
  </si>
  <si>
    <t>04 - Consolidar a Capital como la empresa referente en el desarrollo de estrategias de comunicación pública de Bogotá región.</t>
  </si>
  <si>
    <t>Plan de Fortalecimiento Institucional - Modelo Integrado de Planeación y Gestión - MIPG</t>
  </si>
  <si>
    <t>Objetivo</t>
  </si>
  <si>
    <t>Gestionar el 100% de las acciones definidas por la entidad para la armonización de productos y requisitos del SIG con las dimensiones y políticas del MIPG para Capital.</t>
  </si>
  <si>
    <t>Versión</t>
  </si>
  <si>
    <t>Fecha de publicación</t>
  </si>
  <si>
    <t>Plan de actividades</t>
  </si>
  <si>
    <t>No.</t>
  </si>
  <si>
    <t>Política operativa asociada</t>
  </si>
  <si>
    <t>Actividad a desarrollar</t>
  </si>
  <si>
    <t>Responsable</t>
  </si>
  <si>
    <t>Indicador y/o producto esperado</t>
  </si>
  <si>
    <t>Meta programada</t>
  </si>
  <si>
    <t>Cronograma</t>
  </si>
  <si>
    <t>Ponderación</t>
  </si>
  <si>
    <t>INICIO</t>
  </si>
  <si>
    <t>FIN</t>
  </si>
  <si>
    <t xml:space="preserve">No aplica </t>
  </si>
  <si>
    <t>Realizar los ejercicios de reporte de avances en el FURAG, de acuerdo con los lineamientos que se definan para ello.</t>
  </si>
  <si>
    <t>Planeación - Líderes de procesos</t>
  </si>
  <si>
    <t>FURAG reportado
Línea base a partir del reporte de la vigencia 2020.</t>
  </si>
  <si>
    <t>Consolidar el plan de fortalecimiento y realizar seguimientos mensuales</t>
  </si>
  <si>
    <t>Un plan de fortalecimiento consolidado
Seguimientos mensuales realizados.</t>
  </si>
  <si>
    <t>Definir e implementar las actividades asociadas a la dimensión 01 - "Talento Humano" y sus políticas operativas</t>
  </si>
  <si>
    <t>Planeación - Líder de política (según circular 06 de 2019)</t>
  </si>
  <si>
    <t>Porcentaje de avance en la implementación de actividades asociadas a la política.</t>
  </si>
  <si>
    <t>3.1</t>
  </si>
  <si>
    <t xml:space="preserve">Gestión estratégica del talento humano </t>
  </si>
  <si>
    <t>Implementar protocolos para garantizar la idoneidad de los candidatos que aplican a puestos de planta dentro de la entidad.</t>
  </si>
  <si>
    <t>Talento humano</t>
  </si>
  <si>
    <t>3.2</t>
  </si>
  <si>
    <t>Llevar a cabo como mínimo una vez al año el proceso de reinducción para todos los colaboradores de la entidad.</t>
  </si>
  <si>
    <t xml:space="preserve">Jornada de reinducción realizada con los documentos soportes de su gestión </t>
  </si>
  <si>
    <t>3.3</t>
  </si>
  <si>
    <t>Servicio al ciudadano 
Talento humano</t>
  </si>
  <si>
    <t xml:space="preserve">Jornadas de capacitación realizadas </t>
  </si>
  <si>
    <t>3.4</t>
  </si>
  <si>
    <t>Integridad</t>
  </si>
  <si>
    <t>3.5</t>
  </si>
  <si>
    <t>3.6</t>
  </si>
  <si>
    <t>Definir e implementar las actividades asociadas a la dimensión 02 - "Direccionamiento estratégico y planeación "y sus políticas operativas</t>
  </si>
  <si>
    <t>4.1</t>
  </si>
  <si>
    <t xml:space="preserve">Planeación estratégica </t>
  </si>
  <si>
    <t>Documento de construcción de la planeación estratégica (35%)
Diagnóstico de capacidades y entornos. (35%)
Análisis de entornos - PESTAL (30%)</t>
  </si>
  <si>
    <t>4.2</t>
  </si>
  <si>
    <t xml:space="preserve">Revisar y actualizar el acto administrativo de conformación y funciones del CIGD de la entidad </t>
  </si>
  <si>
    <t>Planeación</t>
  </si>
  <si>
    <t>Acto administrativo actualizado</t>
  </si>
  <si>
    <t>4.3</t>
  </si>
  <si>
    <t>Documentar el manual de implementación del MIPG en Capital.</t>
  </si>
  <si>
    <t xml:space="preserve">Planeación </t>
  </si>
  <si>
    <t>Documento "manual de implementación de MIPG en Capital" creado y publicado en la intranet</t>
  </si>
  <si>
    <t>Definir e implementar las actividades asociadas a la dimensión 03 - "Gestión con valores para el resultado" y sus políticas operativas.</t>
  </si>
  <si>
    <t>5.1</t>
  </si>
  <si>
    <t>Fortalecimiento organizacional y simplificación de procesos</t>
  </si>
  <si>
    <t>Revisar y actualizar en lo pertinente el modelo de operación por procesos en el marco de los nuevos planes, programas y proyectos de la entidad.</t>
  </si>
  <si>
    <t>Mapa de procesos actualizado</t>
  </si>
  <si>
    <t>5.2</t>
  </si>
  <si>
    <t>Participación ciudadana en la gestión pública</t>
  </si>
  <si>
    <t>Formular el plan de implementación de la política de participación ciudadana</t>
  </si>
  <si>
    <t>5.3</t>
  </si>
  <si>
    <t>Actualizar el formato para la caracterización de procesos incluyendo el análisis de riesgos dentro del mismo</t>
  </si>
  <si>
    <t xml:space="preserve">Documento actualizado </t>
  </si>
  <si>
    <t>5.4</t>
  </si>
  <si>
    <t>Socializar la política ambiental de la entidad</t>
  </si>
  <si>
    <t xml:space="preserve">Política socializada a través de los canales de comunicación internos y/o en sesiones de sensibilización </t>
  </si>
  <si>
    <t>5.5</t>
  </si>
  <si>
    <t xml:space="preserve">Servicio al ciudadano </t>
  </si>
  <si>
    <t>Desarrollar una estrategia para fortalecer los sistemas de medición de satisfacción de los ciudadanos y su seguimiento.</t>
  </si>
  <si>
    <t>Estrategia documentada para la medición y seguimiento de la satisfacción de los ciudadanos frente al servicio.</t>
  </si>
  <si>
    <t>5.6</t>
  </si>
  <si>
    <t xml:space="preserve">Servicio al ciudadano 
Dirección operativa </t>
  </si>
  <si>
    <t>5.7</t>
  </si>
  <si>
    <t>Documento de adopción de los lineamientos de la guía de lenguaje claro  
Ajuste de documentos internos (en caso de que aplique)</t>
  </si>
  <si>
    <t>5.8</t>
  </si>
  <si>
    <t xml:space="preserve">Gobierno Digital </t>
  </si>
  <si>
    <t xml:space="preserve">Actualizar la página web institucional incorporando mejoras de accesibilidad </t>
  </si>
  <si>
    <t xml:space="preserve">Digital 
Dirección Operativa </t>
  </si>
  <si>
    <t xml:space="preserve">Página web con mejoras de accesibilidad </t>
  </si>
  <si>
    <t>5.9</t>
  </si>
  <si>
    <t>5.10</t>
  </si>
  <si>
    <t xml:space="preserve">Defensa Jurídica </t>
  </si>
  <si>
    <t xml:space="preserve">Implementar lineamientos para prevenir el daño antijurídico y defensa jurídica a partir de la información existente al interior de la entidad </t>
  </si>
  <si>
    <t xml:space="preserve">Coordinación jurídica </t>
  </si>
  <si>
    <t>Definir e implementar las actividades asociadas a la dimensión 04 - "Evaluación de resultados" y sus políticas operativas</t>
  </si>
  <si>
    <t>6.1</t>
  </si>
  <si>
    <t xml:space="preserve">Seguimiento y evaluación del desempeño institucional </t>
  </si>
  <si>
    <t>4 Sesiones del CIGD</t>
  </si>
  <si>
    <t>6.2</t>
  </si>
  <si>
    <t xml:space="preserve">Aplicar un ejercicio de autoevaluación institucional </t>
  </si>
  <si>
    <t>Revisar y actualizar la herramienta de autoevaluación (20%)
Desarrollar el ejercicio de autoevaluación institucional (60%) 
Documentar y presentar los resultados del ejercicio de autoevaluación (20%)</t>
  </si>
  <si>
    <t>Definir e implementar las actividades asociadas a la dimensión 05 - "Información y comunicación" y sus políticas operativas</t>
  </si>
  <si>
    <t>7.1</t>
  </si>
  <si>
    <t xml:space="preserve">Transparencia, acceso a la información y lucha contra la corrupción </t>
  </si>
  <si>
    <t>Documentar la Política de Transparencia, acceso a la información pública y lucha contra la corrupción de acuerdo con los lineamientos distritales y el manual operativo del MIPG</t>
  </si>
  <si>
    <t>Política documentada y publicada</t>
  </si>
  <si>
    <t>7.2</t>
  </si>
  <si>
    <t xml:space="preserve">Establecer un directorio de agremiaciones, asociaciones, entidades del sector, grupos étnicos y otros grupos de interés. </t>
  </si>
  <si>
    <t>Revisión de información del directorio (40%) 
Consolidación y ajustes al documento (50%) 
Publicación en página web (10%)</t>
  </si>
  <si>
    <t>7.3</t>
  </si>
  <si>
    <t>Realizar la revisión y actualización de los riesgos asociados a los procesos de la entidad de acuerdo con la metodología vigente.</t>
  </si>
  <si>
    <t>Metodología de administración de riesgos actualizada (20%).
Riesgos de gestión revisados y actualizados (40%).
Riesgos de Corrupción revisados y actualizados (20%)
Riesgos ambientales revisados y actualizados (20%).</t>
  </si>
  <si>
    <t>7.4</t>
  </si>
  <si>
    <t xml:space="preserve">Actualizar el normograma y publicarlo en la página web para consulta ciudadana. </t>
  </si>
  <si>
    <t xml:space="preserve">Normograma actualizado y publicado en la página web </t>
  </si>
  <si>
    <t>Definir e implementar las actividades asociadas a la dimensión 06 - "Gestión del conocimiento y la innovación "y sus políticas operativas</t>
  </si>
  <si>
    <t>8.1</t>
  </si>
  <si>
    <t xml:space="preserve">Gestión del conocimiento y la innovación </t>
  </si>
  <si>
    <t>Documentar la Política de  Gestión del conocimiento y la innovación de acuerdo con los lineamientos distritales y las recomendaciones del manual operativo del MIPG.</t>
  </si>
  <si>
    <t>Documento - Política de Gestión del conocimiento y la innovación.</t>
  </si>
  <si>
    <t>8.2</t>
  </si>
  <si>
    <t>Implementar y analizar resultados de la herramienta de lecciones aprendidas en proyectos y procesos institucionales.</t>
  </si>
  <si>
    <t>8.3</t>
  </si>
  <si>
    <t>Definir e implementar las actividades asociadas a la dimensión 07 - "Control Interno "y sus políticas operativas</t>
  </si>
  <si>
    <t>Control Interno - Líder de política (según circular 06 de 2019)</t>
  </si>
  <si>
    <t>9.1</t>
  </si>
  <si>
    <t xml:space="preserve">Control Interno </t>
  </si>
  <si>
    <t>Control Interno</t>
  </si>
  <si>
    <t>9.2</t>
  </si>
  <si>
    <t xml:space="preserve">Documentar mapa de aseguramiento según los lineamientos de la circular 003 de 2020 </t>
  </si>
  <si>
    <t xml:space="preserve">Planeación 
Control Interno </t>
  </si>
  <si>
    <t xml:space="preserve">Mapa de aseguramiento documentado </t>
  </si>
  <si>
    <t>9.3</t>
  </si>
  <si>
    <t>9.4</t>
  </si>
  <si>
    <t>Realizar el monitoreo de la exposición al riesgo en lo relacionado con tecnologías nuevas y emergentes.</t>
  </si>
  <si>
    <t>Documento con el análisis de exposición a los riesgos de seguridad digital</t>
  </si>
  <si>
    <t>PLAN DE CAPACITACIONES</t>
  </si>
  <si>
    <t xml:space="preserve">Objetivo:    </t>
  </si>
  <si>
    <t>Atender las necesidades de capacitación para el fortalecimiento de las competencias del personal de Canal Capital, con el propósito de afrontar los retos que conllevan a la mejora individual e institucional.</t>
  </si>
  <si>
    <t>Versión del plan:</t>
  </si>
  <si>
    <t>Fecha de Aprobación</t>
  </si>
  <si>
    <t>Capacitaciones en temas técnicos (áreas específicas del canal)</t>
  </si>
  <si>
    <t>Recursos Humanos</t>
  </si>
  <si>
    <t>Capacitaciones realizadas / Capacitaciones planeadas</t>
  </si>
  <si>
    <t>Reporte de actividades y avances de acuerdo con lo definido en el cronograma del Plan Institucional de Capacitaciones</t>
  </si>
  <si>
    <t>Capacitaciones en conocimientos generales (aplica para todas las áreas del canal).</t>
  </si>
  <si>
    <r>
      <rPr>
        <b/>
        <sz val="10"/>
        <rFont val="Arial"/>
        <family val="2"/>
      </rPr>
      <t xml:space="preserve">Nota: </t>
    </r>
    <r>
      <rPr>
        <sz val="10"/>
        <rFont val="Arial"/>
        <family val="2"/>
      </rPr>
      <t>Tanto las actividades como las fechas de este plan pueden variar en cualquier momento debido a necesidades, costos y/o presupuesto. El seguimiento se realizará de acuerdo al cronograma del presente plan.</t>
    </r>
  </si>
  <si>
    <t>Control de Modificaciones realizadas al Plan</t>
  </si>
  <si>
    <t>Descripción del ajuste realizado</t>
  </si>
  <si>
    <t>Fecha</t>
  </si>
  <si>
    <t>Creación del plan, con las actividades definidas para la presente vigencia.</t>
  </si>
  <si>
    <t>PLAN DE BIENESTAR E INCENTIVOS</t>
  </si>
  <si>
    <t>Fortalecer las actuaciones de la Entidad a través de la formulación y desarrollo de procesos y programas que fomenten un ambiente de trabajo positivo, generando labores eficientes y productivas dentro de la Entidad.</t>
  </si>
  <si>
    <t>ACTIVIDADES DE CLIMA Y CULTURA ORGANIZACIONAL</t>
  </si>
  <si>
    <t>Actividades realizadas/ actividades programadas</t>
  </si>
  <si>
    <t>Reporte de actividades y avances de acuerdo con lo definido en el Plan de Bienestar e Incentivos.</t>
  </si>
  <si>
    <t>ACTIVIDADES DEPORTIVAS</t>
  </si>
  <si>
    <t>ACTIVIDADES RECREATIVAS</t>
  </si>
  <si>
    <t>ACTIVIDADES CULTURALES</t>
  </si>
  <si>
    <t>ACTIVIDADES PREVENCIÓN EN SALUD</t>
  </si>
  <si>
    <t>PLAN DE SEGURIDAD Y SALUD EN EL TRABAJO</t>
  </si>
  <si>
    <t>Cumplir  la normatividad aplicable a seguridad y salud en el trabajo y atender las observaciones provenientes de auditorias y planes de mejoramiento.</t>
  </si>
  <si>
    <t>Cumplimiento de requisitos legales referente a SST - Resolución 0312 -2019</t>
  </si>
  <si>
    <t>Profesional SST</t>
  </si>
  <si>
    <t>Numero de requisitos cumplidos / Numero de requisitos establecidos en la Resolución</t>
  </si>
  <si>
    <t>Reporte de actividades y avances de acuerdo con lo definido en el Plan de trabajo del Sistema de Seguridad y Salud en el Trabajo - SG-SST.</t>
  </si>
  <si>
    <t>Cumplimiento en el cronograma de Capacitación de seguridad y salud en el trabajo</t>
  </si>
  <si>
    <t>Numero de capacitaciones ejecutadas/ Numero de capacitaciones planeadas</t>
  </si>
  <si>
    <t>Ejecución de las actividades de reinversión de la ARL</t>
  </si>
  <si>
    <t>Numero de horas ejecutadas/ Numero de horas asignadas</t>
  </si>
  <si>
    <t>Reporte de actividades y avances de acuerdo con lo definido en el Plan de trabajo del Subsistema de Seguridad y Salud en el Trabajo - SG-SST.</t>
  </si>
  <si>
    <t>PLAN ESTRATÉGICO DE RECURSOS HUMANOS</t>
  </si>
  <si>
    <t>Implementar un proceso de selección de personal para el personal de planta del canal.</t>
  </si>
  <si>
    <t>% de implementación de proceso</t>
  </si>
  <si>
    <t>Reporte de actividades y avances de acuerdo con lo definido en el Plan Estratégico de Recursos Humanos.</t>
  </si>
  <si>
    <t>Actualización documental del sistema de gestión de seguridad y salud en el trabajo e integración en el sistema de gestión de la empresa en un 100%.</t>
  </si>
  <si>
    <t>% de cumplimiento de los estándares mínimos del sistema de gestión de seguridad y salud en el trabajo con respecto a la Resolución 0312 de 2019</t>
  </si>
  <si>
    <t>Actualización normativa del área de Recursos Humanos</t>
  </si>
  <si>
    <t>% de actualización frente al cronograma</t>
  </si>
  <si>
    <t>Fecha de Aprobación:</t>
  </si>
  <si>
    <t>Sistemas</t>
  </si>
  <si>
    <t>Adquisición e implementación del Switch de cord</t>
  </si>
  <si>
    <t>Switch de cord implementado</t>
  </si>
  <si>
    <t>Adquisición e implementación de 7 Switch capa 3</t>
  </si>
  <si>
    <t>Data center con replicación implementado</t>
  </si>
  <si>
    <t>Despliegue y publicación de segmentos IPV6 a nivel LAN y WAN en Capital</t>
  </si>
  <si>
    <t>Informe de configuraciones del protocolo IPV6</t>
  </si>
  <si>
    <t>Adquisición e implementación del sistema de seguridad perimetral firewall para alta disponibilidad</t>
  </si>
  <si>
    <t>Firewall del alta disponibilidad adquirido e implementado</t>
  </si>
  <si>
    <t>Desarrollar los módulos componentes del software de financiera en el marco del sistema de gestión empresarial</t>
  </si>
  <si>
    <t>01/032021</t>
  </si>
  <si>
    <t>PLAN INSTITUCIONAL DE ARCHIVOS - PINAR</t>
  </si>
  <si>
    <t>Elaborar, socializar e implementar el Plan Institucional de Archivos (PINAR) con el propósito de facilitar la planeación estratégica de la función archivística y articularla con los demás planes y proyectos estratégicos del Sistema Integrado de Gestión (SIG) previstos por Canal Capital.</t>
  </si>
  <si>
    <t xml:space="preserve">Transferencias Secundarias </t>
  </si>
  <si>
    <t>Gestión Documental</t>
  </si>
  <si>
    <t>Reporte de actividades y avances de acuerdo con lo definido en el Plan Institucional de Archivos - PINAR</t>
  </si>
  <si>
    <t>Actualización de las TRD</t>
  </si>
  <si>
    <t xml:space="preserve">Aprobación de TRD </t>
  </si>
  <si>
    <t xml:space="preserve">Sistema de Gestión Documental </t>
  </si>
  <si>
    <t>Implementar como mínimo una (1) estrategia digital por cada vigencia.</t>
  </si>
  <si>
    <t>Página web rediseñada y canal de YouTube optimizado</t>
  </si>
  <si>
    <t>Líder del equipo digital</t>
  </si>
  <si>
    <t>Consolidar mecanismos o buenas prácticas que faciliten y potencialicen el uso de la redes sociales como un elementos de interacción con la ciudadanía</t>
  </si>
  <si>
    <t xml:space="preserve">Este indicador esta asociado a la  determinación y consolidación de las buenas prácticas aplicables en Capital para fortalecer el relacionamiento con las audiencias haciendo uso de herramientas digitales </t>
  </si>
  <si>
    <t>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t>
  </si>
  <si>
    <t>Fortalecimiento de la infraestructura física e interoperabilidad de Capital para la mejora de la gestión institucional.</t>
  </si>
  <si>
    <t>Lograr la optimización de los recursos anuales, alcanzando como mínimo un punto de equilibrio entre el ingreso y gasto</t>
  </si>
  <si>
    <t xml:space="preserve">Diseño de la estrategia para fomentar la gestión de la integridad
Socialización de la estrategia </t>
  </si>
  <si>
    <t>Documentar la política de planeación institucional de acuerdo con las recomendaciones de mejora de la herramienta FURAG y los lineamientos del manual del MIPG</t>
  </si>
  <si>
    <t xml:space="preserve">Adoptar los lineamientos de la guía de lenguaje claro y evaluar el alcance de su aplicación a los documentos internos </t>
  </si>
  <si>
    <t xml:space="preserve">Soportes de implementación de daño antijurídico y de defensa jurídica </t>
  </si>
  <si>
    <t xml:space="preserve">Soportes de las jornadas realizadas </t>
  </si>
  <si>
    <t xml:space="preserve">Entrega de transferencias secundarias por parte de Canal Capital al Archivo de Bogotá. </t>
  </si>
  <si>
    <t>Cotización y adquisición del sistema de gestión documental para Canal Capital.</t>
  </si>
  <si>
    <t>Plan Institucional de Capacitación - PIC</t>
  </si>
  <si>
    <t>Fomentar espacios de difusión del conocimiento interno, encaminados a fortalecer las competencias individuales y colectivas de los colaboradores, generando mejores prácticas de gestión. (Anexo 2).</t>
  </si>
  <si>
    <t>Hacer seguimiento a la implementación de las acciones definidas para el cumplimiento del Modelo Integrado de Planeación y Gestión - MIPG, a través del Plan de Fortalecimiento Institucional - PFI. (Anexo 1).</t>
  </si>
  <si>
    <t>Aplicar las Tablas de Valoración Documental por medio de la transferencia secundaria, actualización e implementación las tablas de retención documental. (Anexo 6).</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</si>
  <si>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t>
  </si>
  <si>
    <t>Contribuir al Mejoramiento de la Calidad de vida de los colaboradores de la Entidad, formulando y desarrollando programas que fomenten un ambiente de trabajo positivo generando así articulación y cumplimiento de los diferentes procesos internos. (Anexo 5).</t>
  </si>
  <si>
    <t>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t>
  </si>
  <si>
    <t>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t>
  </si>
  <si>
    <t>Fuente:</t>
  </si>
  <si>
    <t>Plan distrital de desarrollo. Acuerdo 761 de 2020</t>
  </si>
  <si>
    <t>https://bogota.gov.co/sites/default/files/acuerdo-761-de-2020-pdd.pdf</t>
  </si>
  <si>
    <t>¿Aplica?</t>
  </si>
  <si>
    <t>Propósito 1</t>
  </si>
  <si>
    <t>Hacer un nuevo contrato social con igualdad de oportunidades para la inclusión social, productiva y política.</t>
  </si>
  <si>
    <t>Si</t>
  </si>
  <si>
    <t>Logros de ciudad</t>
  </si>
  <si>
    <t>1 Rediseñar el esquema de subsidios y contribuciones de Bogotá para garantizar un ingreso mínimo por hogar, que reduzca el peso de los factores que afectan la equidad del ingreso de los hogares.</t>
  </si>
  <si>
    <t>No</t>
  </si>
  <si>
    <t>2 Reducir la pobreza monetaria, multidimensional y la feminización de la pobreza.</t>
  </si>
  <si>
    <t>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</si>
  <si>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4 Completar la implementación de un modelo de salud pública con enfoque poblacional - diferencial, de género, participativo, resolutivo y territorial que aporte a la modificación de los determinantes sociales de la salud.</t>
  </si>
  <si>
    <t>5 Cerrar las brechas digitales, de cobertura, calidad y competencias a lo largo del ciclo de la formación integral, desde la primera infancia hasta la educación superior y continua para la vida.</t>
  </si>
  <si>
    <t xml:space="preserve">6 Disminuir el porcentaje de jóvenes que ni estudian ni trabajan con énfasis en jóvenes de bajos ingresos y vulnerables. </t>
  </si>
  <si>
    <t xml:space="preserve">7 Aumentar la inclusión productiva y el acceso a las economías de aglomeración con emprendimiento y empleabilidad con enfoque poblacional - diferencial, territorial y de género. </t>
  </si>
  <si>
    <t>8 Aumentar el acceso a vivienda digna, espacio público y equipamientos de la población vulnerable en suelo urbano y rural.</t>
  </si>
  <si>
    <t>9 Promover la participación, la transformación cultural, deportiva, recreativa, patrimonial y artística que propicien espacios de encuentro, tejido social y reconocimiento del otro.</t>
  </si>
  <si>
    <t>10 Apropiar el territorio rural desde su diversidad étnica y cultural como parte de Bogotá - Región.</t>
  </si>
  <si>
    <t>11 Promover aglomeraciones productivas y sectores de alto impacto con visión de largo plazo en Bogotá - Región.</t>
  </si>
  <si>
    <t>12 Incrementar la oferta de actividades y la infraestructura para el uso y disfrute del tiempo libre, con enfoque de género, diferencial, e integración territorial.</t>
  </si>
  <si>
    <t>Propósito 2</t>
  </si>
  <si>
    <t>Cambiar nuestros hábitos de vida para reverdecer a Bogotá y adaptarnos y mitigar la crisis climática.</t>
  </si>
  <si>
    <t>13 Formular y ejecutar estrategias concertadas de adaptación y mitigación de la crisis climática teniendo como marco la justicia ambiental.</t>
  </si>
  <si>
    <t>14 Implementar estrategias de mantenimiento, recuperación, rehabilitación o restauración de la estructura ecológica principal y demás áreas de interés ambiental en la Bogotá - Región.</t>
  </si>
  <si>
    <t>15 Intervenir integralmente áreas estratégicas de Bogotá teniendo en cuenta las dinámicas patrimoniales, ambientales, sociales y culturales.</t>
  </si>
  <si>
    <t>16 Aumentar la oferta de espacio público y áreas verdes de Bogotá promoviendo su uso, goce y disfrute con acceso universal para la ciudadanía.</t>
  </si>
  <si>
    <t>17 Reconocer y proteger todas las formas de vida, en particular la fauna urbana.</t>
  </si>
  <si>
    <t>18 Reducir la contaminación ambiental atmosférica, visual y auditiva y el impacto en morbilidad y mortalidad por esos factores.</t>
  </si>
  <si>
    <t>19 Cuidar y proteger el agua, el Río Bogotá, el sistema de páramos y el sistema hídrico de la ciudad y mejorar la prestación de los servicios públicos.</t>
  </si>
  <si>
    <t>20 Aumentar la separación en la fuente, reciclaje, reutilización y la adecuada disposición final de los residuos de la ciudad.</t>
  </si>
  <si>
    <t>Propósito 3</t>
  </si>
  <si>
    <t>Inspirar confianza y legitimidad para vivir sin miedo y ser epicentro de cultura ciudadana, paz y reconciliación.</t>
  </si>
  <si>
    <t xml:space="preserve">21 Posicionar a Bogotá – Región como el epicentro de paz y reconciliación del país, incluyendo un PDET rural en Sumapaz y un PDET urbano en el borde suroccidental en límites con el municipio de Soacha. </t>
  </si>
  <si>
    <t xml:space="preserve">22 Reducir la aceptación cultural e institucional del machismo y las violencias contra las mujeres, y garantizar el acceso efectivo a la justicia. </t>
  </si>
  <si>
    <t xml:space="preserve">23 Fomentar la autorregulación, regulación mutua, la concertación y el diálogo social generando confianza y convivencia entre la ciudadanía y entre esta y las instituciones. </t>
  </si>
  <si>
    <t xml:space="preserve">24 Disminuir la ilegalidad y la conflictividad en el uso y ordenamiento del espacio público, privado y en el medio ambiente rural y urbano. </t>
  </si>
  <si>
    <t>25 Reducir los mercados criminales, los delitos de alto impacto y hechos violentos con énfasis en los que afectan a mujeres, peatones, biciusuarios y usuarios del transporte público.</t>
  </si>
  <si>
    <t>Propósito 4</t>
  </si>
  <si>
    <t>Hacer de Bogotá - Región un modelo de movilidad multimodal, incluyente y sostenible</t>
  </si>
  <si>
    <t>26 Mejorar la experiencia de viaje a través de los componentes de tiempo, calidad y costo, con enfoque de género, diferencial, territorial y regional, teniendo como eje estructurador la red de metro regional, el sistema integrado de transporte público y la red de ciclorutas.</t>
  </si>
  <si>
    <t>Propósito 5</t>
  </si>
  <si>
    <t>Construir Bogotá - Región con gobierno abierto, transparente y ciudadanía consciente.</t>
  </si>
  <si>
    <t xml:space="preserve">27 Posicionar al Gobierno Abierto de Bogotá – GABO – como una nueva forma de gobernanza que reduce el riesgo de corrupción e incrementa el control ciudadano del gobierno. </t>
  </si>
  <si>
    <t xml:space="preserve">28 Promover procesos de integración y ordenamiento territorial en la Bogotá - Región sostenibles social, económica, ambiental e institucionalmente. </t>
  </si>
  <si>
    <t xml:space="preserve">29 Posicionar globalmente a Bogotá como territorio inteligente (Smart City). </t>
  </si>
  <si>
    <t>30 Incrementar la efectividad de la gestión pública distrital y local.</t>
  </si>
  <si>
    <t>Manual Operativo del Modelo Integrado de Planeación y Gestión - MIPG Versión 03. Diciembre de 2019</t>
  </si>
  <si>
    <t>DIMENSIÓN</t>
  </si>
  <si>
    <t>POLÍTICA</t>
  </si>
  <si>
    <t>Talento Humano</t>
  </si>
  <si>
    <t>Gestión Estratégica del Talento Humano</t>
  </si>
  <si>
    <t>Direccionamiento Estratégico y Planeación</t>
  </si>
  <si>
    <t>Planeación institucional</t>
  </si>
  <si>
    <t>Gestión Presupuestal y Eficiencia del Gasto Público</t>
  </si>
  <si>
    <t>Gestión con valores para resultados</t>
  </si>
  <si>
    <t>Gobierno Digital</t>
  </si>
  <si>
    <t>Seguridad Digital</t>
  </si>
  <si>
    <t>Defensa Jurídica</t>
  </si>
  <si>
    <t>Mejora normativa</t>
  </si>
  <si>
    <t>Servicio al ciudadano</t>
  </si>
  <si>
    <t>Racionalización de trámites</t>
  </si>
  <si>
    <t>Participación Ciudadana en la Gestión Pública</t>
  </si>
  <si>
    <t>Evaluación de Resultados</t>
  </si>
  <si>
    <t>Seguimiento y evaluación del desempeño institucional</t>
  </si>
  <si>
    <t>Información y Comunicación</t>
  </si>
  <si>
    <t>Transparencia, acceso a la información pública y lucha contra la corrupción</t>
  </si>
  <si>
    <t>Gestión de la Información Estadística</t>
  </si>
  <si>
    <t>Gestión del Conocimiento y la Innovación</t>
  </si>
  <si>
    <t>FUENTE:</t>
  </si>
  <si>
    <t>Página web de la Organización de las naciones Unidas - ONU</t>
  </si>
  <si>
    <t>https://www.un.org/sustainabledevelopment/es/objetivos-de-desarrollo-sostenible/</t>
  </si>
  <si>
    <t>https://www.fundacionseres.org/Repositorio%20Archivos/ODS,%20empresas%20y%20valor%20compartido.pdf</t>
  </si>
  <si>
    <t>Objetivo de desarrollo</t>
  </si>
  <si>
    <t>Síntesis</t>
  </si>
  <si>
    <t>1. Poner fin a la pobreza en todas sus formas y en todo el mundo.</t>
  </si>
  <si>
    <t>I) En una década, la pobreza se ha reducido a la mitad, pero una de 8 personas seguía viviendo en la pobreza extrema en 2012. 
II) De entre los trabajadores pobres, los jóvenes están en mayor riesgo de pobreza extrema. 
III) Casi una de cada cinco personas recibe algún tipo de beneficio social en los países de bajos ingresos.</t>
  </si>
  <si>
    <t>2. Poner fin al hambre, lograr la seguridad alimentaria y la mejora de la nutrición y promover la agricultura sostenible</t>
  </si>
  <si>
    <t>I) Más de 790 millones de personas pasan hambre. 
II) Uno de cada cuatro niños menores de 5 años padece desnutrición crónica o retraso del crecimiento, y la proporción de niños con sobrepeso ha aumentado un 20%. 
III) Desde el año 2000, ha disminuido la ayuda a la agricultura.</t>
  </si>
  <si>
    <t>3. Garantizar una vida sana y promover el bienestar de todos a todas las edades.</t>
  </si>
  <si>
    <t>I) Las tasas de mortalidad materna, neonatal e infantil siguen siendo inaceptablemente altas.
II) La incidencia de enfermedades trasmisibles ha disminuido pero millones de personas se infectan cada año. 
III) Aumentan las muertes por enfermedades cardiovasculares y cáncer.
IV) Las muertes por accidentes de tráfico aumentan en países de ingresos bajos y medianos.</t>
  </si>
  <si>
    <t>4. Garantizar una educación inclusiva y equitativa de calidad y promover oportunidades de aprendizaje permanente para todos.</t>
  </si>
  <si>
    <t>I) Acceso desigual a la educación. 
II) Se debería garantizar el acceso a nueva formación durante toda la vida.</t>
  </si>
  <si>
    <t>5. Lograr la igualdad de género y empoderar a todas las mujeres y las niñas.</t>
  </si>
  <si>
    <t>I) Disminuyen las tasas de matrimonio infantil. 
II) Se siguen practicando la mutilación genital. 
III) Sigue existiendo mucha desigualdad en el reparto de tareas no remuneradas. 
IV) Las mujeres siguen infrarrepresentadas en los parlamentos nacionales.</t>
  </si>
  <si>
    <t>6. Garantizar la disponibilidad y la gestión sostenible del agua y el saneamiento para todos.</t>
  </si>
  <si>
    <t>I) Aumenta el estrés por falta de agua. 
II) Todavía el 100 % de las fuentes de agua no se administran de manera segura. 
III) Un tercio de la población mundial no tiene estructuras de saneamiento. 
IV) Los planes de gestión del agua son una realidad en la mayoría de países.</t>
  </si>
  <si>
    <t>7. Garantizar el acceso a una energía asequible, fi able, sostenible y moderna para todos.</t>
  </si>
  <si>
    <t>I) Todavía 1.100 millones de personas no tienen acceso a electricidad. 
II) El 40% de la población emplea combustibles insalubres para cocinar. 
III) Aumenta el empleo de energía renovable. 
IV) Se disocia el crecimiento del consumo eléctrico, pero no sufi cientemente rápido.</t>
  </si>
  <si>
    <t>8. Promover el crecimiento económico sostenido inclusivo y sostenible, el empleo pleno y productivo y el trabajo decente para todos.</t>
  </si>
  <si>
    <t>I) Hay que crecer más para llegar al objetivo del 7% del PIB en los países menos desarrollados. 
II) Las diferencias en productividad siguen siendo muy grandes. 
III) Las mujeres tienen más probabilidad de estar desempleadas. 
IV) 2.000 millones de personas siguen sin acceso a servicios financieros.</t>
  </si>
  <si>
    <t>9. Construir infraestructuras resilientes, promover la industrialización inclusiva y sostenible, y fomentar la innovación.</t>
  </si>
  <si>
    <t>I) El potencial de manufactura es una gran oportunidad de crecimiento. 
II) Disminuyen las emisiones de dióxido de carbono por unidad de valor. 
III) El gasto en I+D aumenta, pero desigualmente. 
IV) El acceso a internet sigue siendo bajo en zonas rurales.</t>
  </si>
  <si>
    <t>10. Reducir la desigualdad en los países y entre ellos.</t>
  </si>
  <si>
    <t>I) Algunos países recortan la desigualdad de ingresos. 
II) Disminuye la contribución laboral al PIB. 
III) Disminuyen las barreras arancelarias. 
IV) Disminuyen los costos de envío de remesas.</t>
  </si>
  <si>
    <t>11. Lograr que las ciudades y los asentamientos humanos sean inclusivos, seguros, resilientes y sostenibles.</t>
  </si>
  <si>
    <t>I) Un tercio de la población urbana de países en desarrollo vive en zonas marginales. 
II) Gran parte del crecimiento urbano es descontrolado. 
III) La contaminación de muchas zonas urbanas es peligrosamente alto. 
IV) Aumentan las políticas de desarrollo urbano.</t>
  </si>
  <si>
    <t>12. Garantizar modalidades de consumo y producción sostenibles.</t>
  </si>
  <si>
    <t>I) Aumenta el uso de materias primas. 
II) El consumo de recursos per cápita disminuye en los países desarrollados y crece en los países en desarrollo. 
III) Aumentan los acuerdos internacionales en medio ambiente y desechos peligrosos.</t>
  </si>
  <si>
    <t>13. Adoptar medidas urgentes para combatir el cambio climático y sus efectos.</t>
  </si>
  <si>
    <t>I) El Acuerdo de París sienta unas buenas bases para el desarrollo sostenible. 
II) Un 70% de los países presentó planes de adaptación al cambio climático en París. 
III) Crece la frecuencia e intensidad de los desastres naturales, afectando a más personas. 
IV) 83 países cuentan con estrategias de gestión de desastres.</t>
  </si>
  <si>
    <t>14. Conservar y utilizar sosteniblemente los océanos, los mares y los recursos marinos para el desarrollo sostenible.</t>
  </si>
  <si>
    <t>I) Se frena la disminución de poblaciones sostenibles de peces. 
II) Se han cuadriplicado las zonas marinas y costeras protegidas desde el 2000. 
III) Importantes ecosistemas marinos están en alto riesgo de eutrofización (exceso de nutrientes causante de la disminución de oxígeno).</t>
  </si>
  <si>
    <t>15. Proteger, restablecer y promover el uso sostenible de los ecosistemas terrestres, gestionar sosteniblemente los bosques, luchar contra la desertificación, detener e invertir la degradación de las tierras y detener la pérdida de biodiversidad.</t>
  </si>
  <si>
    <t xml:space="preserve">I) La pérdida neta de bosques se ha reducido a la mitad. 
II) Aumentan las áreas protegidas para zonas clave de biodiversidad. 
III) La supervivencia de las especies está cada vez más amenazada. 
IV) El tráfico ilegal de especies y caza furtiva sigue siendo un problema importante. </t>
  </si>
  <si>
    <t>16. Promover sociedades pacíficas e inclusivas para el desarrollo sostenible, facilitar el acceso a la justicia para todos y construir a todos los niveles instituciones eficaces e inclusivas que rindan cuentas.</t>
  </si>
  <si>
    <t>I) Hay muchas diferencias en las tasas de homicidios entre regiones. 
II) Los niños, en su mayoría niñas, son el 30% de las víctimas de trata. 
III) El 30% de los encarcelados a nivel mundial lo están sin sentencia. 
IV) Uno de cada cuatro niños que nace no está inscrito en ningún registro.</t>
  </si>
  <si>
    <t>17. Fortalecer los medios de implementación y revitalizar la Alianza Mundial para el Desarrollo Sostenible.</t>
  </si>
  <si>
    <t>I) Crece la Ayuda Oficial al Desarrollo (AOD). 
II) La carga de la deuda internacional disminuye. 
III) La mayor parte de la población de los países en desarrollo no tiene acceso a internet de alta velocidad. 
IV) Aumenta la contribución a la exportación de los países en desarrollo. 
V) Los aranceles de ropa y textiles siguen siendo muy altos. 
VI) Los recursos estadísticos nacionales necesitan actualización en muchos países. 
VII) No todos los países tienen censos de población y vivienda. 
VIII) El registro de defunciones aún no es universal.</t>
  </si>
  <si>
    <t>Gestionar y mantener actualizada la información sobre procesos disciplinarios en el sistema distrital de información disciplinaria del distrito capital.</t>
  </si>
  <si>
    <t>Actualización de la información sobre procesos disciplinarios.</t>
  </si>
  <si>
    <t>Sistema distrital de información disciplinaria actualizada</t>
  </si>
  <si>
    <t>Contar con información completa en la plataforma que permita adelantar seguimientos respecto a los procesos disciplinarios que adelanta la entidad.</t>
  </si>
  <si>
    <t>Los costos asociados son los relacionados con la gestión adelantada por los abogados externos de la entidad.</t>
  </si>
  <si>
    <t>Documentar y mantener actualizada la información de procesos disciplinarios a cargo de la entidad, para facilitar su gestión.</t>
  </si>
  <si>
    <t>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t>
  </si>
  <si>
    <t>100% del procedimiento y de la información del sistema distrital de información disciplinaria actualizadas.</t>
  </si>
  <si>
    <t>* Capacitaciones realizadas / 1.
* número de procesos registrados / número de procesos recibidos.
* % de avance en la actualización de los procedimientos asociados a los procesos disciplinarios.</t>
  </si>
  <si>
    <t>Porcentaje mínimo de presupuesto destinado a cocreación de contenidos del sector audiovisual en Capital</t>
  </si>
  <si>
    <t>Participación ciudadana en la gestión pública.
Gestión del conocimiento y la innovación.
Gobierno Abierto.</t>
  </si>
  <si>
    <t>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t>
  </si>
  <si>
    <t>1 software de gestión implementado</t>
  </si>
  <si>
    <t>Implementar el componente contractual para uso interno de la Coordinación Jurídica para reparto y seguimiento a los abogados en el software de gestión.</t>
  </si>
  <si>
    <t>≥ 1</t>
  </si>
  <si>
    <t>≥ 0</t>
  </si>
  <si>
    <t>1.  Comparar el ingreso frente al gasto de recursos propios y generar alertas.</t>
  </si>
  <si>
    <t xml:space="preserve">4. Elaborar los estados contables mensuales                     </t>
  </si>
  <si>
    <t xml:space="preserve">6. Suministrar insumo para piezas comunicativas          </t>
  </si>
  <si>
    <t xml:space="preserve">2. Liquidar ordenes e pago y diligenciar matriz de control  </t>
  </si>
  <si>
    <t>Implementar el Plan de Acción de la Política Institucional de Servicio al Ciudadano.</t>
  </si>
  <si>
    <t>Verificar que las respuestas a la totalidad de las peticiones, quejas, reclamos y/o sugerencias sean atendidas en los términos establecidos por la ley.</t>
  </si>
  <si>
    <t>Plan de Acción de la Política Institucional de Servicio al Ciudadano.</t>
  </si>
  <si>
    <t>Matriz diligenciada del modelo de seguimiento y medición a la prestación del servicio (Plan de Acción)</t>
  </si>
  <si>
    <t>Cumplimiento al Plan de Acción de la Política Institucional de Servicio al Ciudadano</t>
  </si>
  <si>
    <t>Realizar el seguimiento al cumplimiento de las actividades de mejora propuestas en el Plan de Acción.</t>
  </si>
  <si>
    <t>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t>
  </si>
  <si>
    <t>Atención Oportuna a las PQRS</t>
  </si>
  <si>
    <t>Atender los diferentes requerimientos de los ciudadanos con el apoyo del área competente para satisfacer sus necesidades.</t>
  </si>
  <si>
    <t>Informes mensuales de PQRS</t>
  </si>
  <si>
    <t>Cumplir con los tiempos establecidos por la Ley para la atención de las peticiones, quejas, reclamos y/o sugerencias.</t>
  </si>
  <si>
    <t>(Número de solicitudes atendidas durante el mes (incluyendo las registradas no atendidas de meses anteriores por tiempos de respuesta) / Número de solicitudes recibidas durante el mes) * 100%</t>
  </si>
  <si>
    <t>Fortalecer y mejorar la atención que se brinda al ciudadano, garantizando la calidad del servicio que presta la entidad.</t>
  </si>
  <si>
    <t>Porcentaje promedio de Cumplimiento de las actividades anuales del Plan de Acción de la Política Institucional de Servicio al Ciudadano.</t>
  </si>
  <si>
    <t>Porcentaje promedio de cumplimiento en las respuestas a las PQRS en los términos establecidos por la Ley</t>
  </si>
  <si>
    <t>Servicio al ciudadano
Participación Ciudadana en la Gestión Pública</t>
  </si>
  <si>
    <t>Propósito 1
Logro de ciudad: 3
Propósito 3
Logro de ciudad: 23
Propósito 5
Logros de ciudad: 27 - 30</t>
  </si>
  <si>
    <t xml:space="preserve">
Tramitar la totalidad de las PQRS recibidas en la entidad y hacer seguimiento mensual sobre el cumplimiento de las mismas. 
</t>
  </si>
  <si>
    <t>Eficiencia en la atención a los PQRS</t>
  </si>
  <si>
    <t>Número de PQRS atendidas oportunamente en el mes / Total de PQRS gestionadas en el mes</t>
  </si>
  <si>
    <t>1 - Se formula el documento a partir de las actividades pendientes por finalizar el cumplimiento del Plan de Fortalecimiento Institucional 2020 así como con el análisis realizado por las áreas de la entidad frente a las actividades identificadas en la matriz de recomendaciones del FURAG. Se incorpora la columna que permite identificar la política operativa a la cual le aporta cada acción.</t>
  </si>
  <si>
    <t>PROGRAMACIÓN 2021</t>
  </si>
  <si>
    <t>TOTAL ACUMULADO</t>
  </si>
  <si>
    <t>Enero</t>
  </si>
  <si>
    <t>Febrero</t>
  </si>
  <si>
    <t>Marzo</t>
  </si>
  <si>
    <t>Abril</t>
  </si>
  <si>
    <t>Mayo</t>
  </si>
  <si>
    <t>Junio</t>
  </si>
  <si>
    <t>Julio</t>
  </si>
  <si>
    <t>Agosto</t>
  </si>
  <si>
    <t>Septiembre</t>
  </si>
  <si>
    <t>Octubre</t>
  </si>
  <si>
    <t>Noviembre</t>
  </si>
  <si>
    <t>Diciembre</t>
  </si>
  <si>
    <t>Mecanismo implementado</t>
  </si>
  <si>
    <t>Gestionar dos capacitaciones para el personal de atención al ciudadano y otros colaboradores en asuntos de atención preferencial a personas en condición de discapacidad, adultos mayores, niños y jóvenes, población afro, LGBTI, ROM y otros grupos étnicos/poblacionales.</t>
  </si>
  <si>
    <t xml:space="preserve">Realizar un análisis de apropiación sobre el código de integridad de la entidad con los colaboradores de la entidad. </t>
  </si>
  <si>
    <t>Documento resumen con los resultados de la aplicación del análisis de percepción</t>
  </si>
  <si>
    <t xml:space="preserve">Iniciar con la Fase de Implementación de los lineamientos de conflictos de interes en Capital a partir de jornadas de socialización / sensibilización resaltando los canales y protocolos de atención de conflictos de interés </t>
  </si>
  <si>
    <t>Documentación de la estrategia 
Jornadas de socialización / sensibilización realizadas 
Canales y protocolos de atención de conflictos de interés diseñados</t>
  </si>
  <si>
    <t>Implementar las acitivades incluidas en el Plan de Integridad.</t>
  </si>
  <si>
    <t>4.4</t>
  </si>
  <si>
    <t>4.5</t>
  </si>
  <si>
    <t xml:space="preserve">Sistemas </t>
  </si>
  <si>
    <t xml:space="preserve">Formulación Plan  de implementación </t>
  </si>
  <si>
    <t>Diseñar y/o publicar según corresponda, en los canales que se consideren pertinentes información de interés relacionada con la accesibilidad y/o lenguajes incluyentes en los contenidos y/o canales de atención dispuestos por Capital.
La publicación de la información se realizará a lo largo de la vigencia, según se considere pertinente.</t>
  </si>
  <si>
    <t xml:space="preserve">Comunicaciones realizadas y/o publicadas a través de los canales pertinentes </t>
  </si>
  <si>
    <t>Difundir trimestralmente mediante las redes sociales del Canal, el informe de PQRS de la entidad.</t>
  </si>
  <si>
    <t xml:space="preserve">Servicios al ciudadano </t>
  </si>
  <si>
    <t>Difusiones realizadas por redes sociales invitando a la ciudadanía a conocer el informe de PQRS</t>
  </si>
  <si>
    <t>Presentar balances periódicos ante la alta dirección sobre el estado de avance de la gestión institucional.</t>
  </si>
  <si>
    <t xml:space="preserve">Iniciar la fase de implementación de la Politica de Gestión Documental a partir del plan de acción del grupo de Gestión Documental </t>
  </si>
  <si>
    <t xml:space="preserve">Gestión Documental </t>
  </si>
  <si>
    <t xml:space="preserve">Ejecución de las actividades plan de trabajo </t>
  </si>
  <si>
    <t>Documento de lecciones aprendidas para la estrategia de racionalización interna de trámites (25%)
Documento de lecciones aprendidas para la experiencia de innovación adelantada (2019 a 2021) (75%)</t>
  </si>
  <si>
    <t xml:space="preserve">Realizar 2 jornadas de capacitación encaminadas en promover la conservación del conocimiento de los servidores públicos </t>
  </si>
  <si>
    <t>Realizar evaluación independiente del Sistema de Control Interno.</t>
  </si>
  <si>
    <t>Evaluación del Sistema de Control Interno/1</t>
  </si>
  <si>
    <t xml:space="preserve">Realizar seguimientos al Plan de Mejoramiento por Procesos. </t>
  </si>
  <si>
    <t>Soportes de los seguimientos realizados/2</t>
  </si>
  <si>
    <t>Generar piezas de fortalecimiento del Sistema de Control Interno.</t>
  </si>
  <si>
    <t>Piezas generadas/5</t>
  </si>
  <si>
    <t>9.5</t>
  </si>
  <si>
    <t xml:space="preserve">Revisar el manual de auditoría frente a los lineamientos emitidos por el DAFP y el Instituto Internacional de Auditores Internos. </t>
  </si>
  <si>
    <t>9.6</t>
  </si>
  <si>
    <t>Revisar y actualizar la Resolución de conformación del Comité Institucional de Coordinación de Control Interno.</t>
  </si>
  <si>
    <t>Resolución actualizda</t>
  </si>
  <si>
    <t>PLAN DE T.I. - PLAN ESTRATÉGICO DE TECNOLOGÍAS DE LA INFORMACIÓN - PETI</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</si>
  <si>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t>
  </si>
  <si>
    <t>Informe tecnico de los 7 Switch de  capa 3  implementados</t>
  </si>
  <si>
    <t>Data center con replicacion tier 2 en la sede principal</t>
  </si>
  <si>
    <t>Adquisición e implementación del robot de backup LTO8 en el data center principal</t>
  </si>
  <si>
    <t>Robot de backup LTO8 implementado</t>
  </si>
  <si>
    <t>Modulos componentes implementados del software de financiera</t>
  </si>
  <si>
    <t>PLAN DE T.I. - SEGURIDAD Y PRIVACIDAD DE LA INFORMACIÓN</t>
  </si>
  <si>
    <t>Documentar políticas, procedimientos, lineamientos, instructivos, etc. Asociados al MSPI y Gobierno Digital.</t>
  </si>
  <si>
    <t>Documentos publicados en la intranet de la entidad</t>
  </si>
  <si>
    <t>Elaborar y aplicar la estrategia de comunicación del SGSI.</t>
  </si>
  <si>
    <t>Estrategia de comunicación SGSI.</t>
  </si>
  <si>
    <t>Implementar controles de seguridad en la plataforma tecnológica de la entidad</t>
  </si>
  <si>
    <t>Controles implementados en la plataforma tecnológica</t>
  </si>
  <si>
    <t>Gestión para la certificación en ISO 27001 de un proceso de la entidad.</t>
  </si>
  <si>
    <t xml:space="preserve">Documento de gestión </t>
  </si>
  <si>
    <t>PLAN DE T.I. - TRATAMIENTO DE RIESGOS DE SEGURIDAD Y PRIVACIDAD DE LA INFORMACIÓN</t>
  </si>
  <si>
    <t>Identificación, valoración y tratamiento de riesgos de seguridad digital</t>
  </si>
  <si>
    <t>Matriz de riesgos de seguridad digital</t>
  </si>
  <si>
    <t>Oficialización de la matriz de riesgos de seguridad digital</t>
  </si>
  <si>
    <t>Solicitud a Planeación para la publicación de la matriz de riesgos de seguridad digital</t>
  </si>
  <si>
    <t>Fortalecer la plataforma tecnológica de la Entidad (Hardware y Software), manteniendo un esquema de alta disponibilidad y seguridad. (Anexo 8).</t>
  </si>
  <si>
    <t>Fortalecer la plataforma tecnológica de la Entidad (Hardware y Software), manteniendo un esquema de alta disponibilidad y seguridad. (Anexo 9).</t>
  </si>
  <si>
    <t>CÓDIGO</t>
  </si>
  <si>
    <t>5.1. Adopción del enfoque integral gestión del conocimiento de Capital</t>
  </si>
  <si>
    <t>5.1.1</t>
  </si>
  <si>
    <t>5.1.2</t>
  </si>
  <si>
    <t>5.2. Fortalecimiento de la cultura de la planeación</t>
  </si>
  <si>
    <t>5.2.1</t>
  </si>
  <si>
    <t>5.2.2</t>
  </si>
  <si>
    <t>5.2.3</t>
  </si>
  <si>
    <t>2.1. Gestión integral de compromisos de Capital en las distintas políticas públicas poblacionales del distrito capital.</t>
  </si>
  <si>
    <t>2.1.1</t>
  </si>
  <si>
    <t>1.1. Desarrollo de estrategias de comunicación externa sobre acciones realizadas por Capital y con entidades del orden Distrital, Regional y Nacional con énfasis en enfoque cultural.</t>
  </si>
  <si>
    <t>1.1.1</t>
  </si>
  <si>
    <t>1.1.2</t>
  </si>
  <si>
    <t>5.3. Acompañamiento a las estrategias de comunicación interna planeadas o definidas por Capital en sus diferentes proyectos.</t>
  </si>
  <si>
    <t>1.2. Cocreación con el sector audiovisual local garantizando múltiples miradas de Bogotá - región, así como, la innovación en los procesos de diseño, producción y/o circulación de contenidos.</t>
  </si>
  <si>
    <t>2.2. Cocreación con los ciudadanos de todas las edades garantizando múltiples miradas de Bogotá - región, así como, la innovación en los procesos de diseño, producción y/o circulación de contenidos.</t>
  </si>
  <si>
    <t xml:space="preserve">3.1. Optimización de presencias digitales </t>
  </si>
  <si>
    <t>4.1. Consolidación del diseño, producción y circulación  de estrategias de comunicación pública como línea de negocio misional de Capital.</t>
  </si>
  <si>
    <t>5.4. Fortalecimiento a la gestión documental para el uso adecuado e implementación de los instrumentos archivísticos en Canal Capital</t>
  </si>
  <si>
    <t>5.5. Fortalecimiento de la infraestructura física e interoperabilidad de Capital para la mejora de la gestión institucional.</t>
  </si>
  <si>
    <t>5.6. Promoción del desarrollo integral de los colaboradores del Canal.</t>
  </si>
  <si>
    <t>5.7. Fortalecimiento de la cultura ambiental de Capital.</t>
  </si>
  <si>
    <t>5.8. Plan estratégico financiero como mecanismo para la  optimización y eficiencia de los recursos económicos.</t>
  </si>
  <si>
    <t>5.9. Sistematización de los procesos institucionales (contractual y financiero)</t>
  </si>
  <si>
    <t>5.10. Mejoramiento del régimen de contratación y de los documentos de la gestión contractual</t>
  </si>
  <si>
    <t>5.11. Fortalecimiento de las funciones de la gestión disciplinaria</t>
  </si>
  <si>
    <t>5.12. Fortalecimiento de la defensa jurídica</t>
  </si>
  <si>
    <t>5.13. Fortalecer las herramientas y procesos en la gestión de la Atención al Ciudadano.</t>
  </si>
  <si>
    <t>5.14. Evaluación y recomendaciones estratégicas de valor a la gestión institucional</t>
  </si>
  <si>
    <t>5.3.1</t>
  </si>
  <si>
    <t>5.3.2</t>
  </si>
  <si>
    <t>5.3.3</t>
  </si>
  <si>
    <t>5.3.4</t>
  </si>
  <si>
    <t>1.2.1</t>
  </si>
  <si>
    <t>2.2.1</t>
  </si>
  <si>
    <t>4.1.1</t>
  </si>
  <si>
    <t>4.1.2</t>
  </si>
  <si>
    <t>3.1.1</t>
  </si>
  <si>
    <t>3.1.2</t>
  </si>
  <si>
    <t>5.4.1</t>
  </si>
  <si>
    <t>5.5.1</t>
  </si>
  <si>
    <t>5.5.2</t>
  </si>
  <si>
    <t>5.5.3</t>
  </si>
  <si>
    <t>3.2.1</t>
  </si>
  <si>
    <t>5.6.1</t>
  </si>
  <si>
    <t>5.6.2</t>
  </si>
  <si>
    <t>5.6.3</t>
  </si>
  <si>
    <t>5.6.4</t>
  </si>
  <si>
    <t>5.7.1</t>
  </si>
  <si>
    <t>5.8.1</t>
  </si>
  <si>
    <t>5.8.2</t>
  </si>
  <si>
    <t>5.8.3</t>
  </si>
  <si>
    <t>5.8.4</t>
  </si>
  <si>
    <t>5.8.5</t>
  </si>
  <si>
    <t>5.8.6</t>
  </si>
  <si>
    <t>5.9.1</t>
  </si>
  <si>
    <t>5.9.2</t>
  </si>
  <si>
    <t>5.10.1</t>
  </si>
  <si>
    <t>5.11.1</t>
  </si>
  <si>
    <t>5.12.1</t>
  </si>
  <si>
    <t>5.13.1</t>
  </si>
  <si>
    <t>5.13.2</t>
  </si>
  <si>
    <t>5.14.1</t>
  </si>
  <si>
    <t>5.14.2</t>
  </si>
  <si>
    <t>5.14.3</t>
  </si>
  <si>
    <t>Presupuesto diseñado, apropiado y/o comprometido para llamados públicos de cocreación con sector audiovisual local / Presupuesto total para la producción de contenidos propios recursos hacienda y FuTic plan de inversión</t>
  </si>
  <si>
    <t>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t>
  </si>
  <si>
    <t>Numero de piezas comunicativas realizadas / Numero de piezas comunicativas programadas para la vigencia (4)</t>
  </si>
  <si>
    <t>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t>
  </si>
  <si>
    <t xml:space="preserve">* Diseño Plan de posicionamiento y gestión de recursos de Capital y de Eureka 
* Ejecución Plan de posicionamiento y gestión de recursos de Capital y de Eureka, capítulo gestión </t>
  </si>
  <si>
    <t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t>
  </si>
  <si>
    <t>ÁREA</t>
  </si>
  <si>
    <t>Comunicaciones</t>
  </si>
  <si>
    <t>Contenidos_Ciudadanía</t>
  </si>
  <si>
    <t>Proyectos_Estratégicos</t>
  </si>
  <si>
    <t>Digital</t>
  </si>
  <si>
    <t>Talento_Humano</t>
  </si>
  <si>
    <t>Gestión_Documental</t>
  </si>
  <si>
    <t>Servicios_Administrativos</t>
  </si>
  <si>
    <t>Gestión_Ambiental</t>
  </si>
  <si>
    <t>Subdirección_Administrativa</t>
  </si>
  <si>
    <t>Subdirección_Financiera</t>
  </si>
  <si>
    <t>Secretaría_General</t>
  </si>
  <si>
    <t>Servicio_Ciudadano</t>
  </si>
  <si>
    <t>Control_Interno</t>
  </si>
  <si>
    <t>3. Salud y bienestar.
16. Paz, justicia e instituciones sólidas.</t>
  </si>
  <si>
    <t>Lecciones aprendidas documentadas</t>
  </si>
  <si>
    <t>Porcentaje de avances en el cumplimiento de las acciones programadas en el Plan Institucional de Capacitación</t>
  </si>
  <si>
    <t>Número total de informes y/o reportes programados para el periodo</t>
  </si>
  <si>
    <t>Porcentaje total de acciones programadas del Plan Institucional de Capacitación</t>
  </si>
  <si>
    <t>Número de informes y/o reportes ejecutados oportunamente</t>
  </si>
  <si>
    <t>Total de compromisos adquiridos</t>
  </si>
  <si>
    <t>Número de publicaciones proyectadas</t>
  </si>
  <si>
    <t>Número de compromisos gestionados</t>
  </si>
  <si>
    <t>Informes elaborados, que den cuenta de las actividades adelantadas</t>
  </si>
  <si>
    <t>Número de informes planeados.</t>
  </si>
  <si>
    <t xml:space="preserve">Número de publicaciones alcanzadas </t>
  </si>
  <si>
    <t>Número de medios de comunicación interna intervenidos</t>
  </si>
  <si>
    <t>Número de medios planeados a intervenir</t>
  </si>
  <si>
    <t>Presupuesto total para la producción de contenidos propios recursos hacienda y FuTic plan de inversión</t>
  </si>
  <si>
    <t>meta anual de proyectos audiovisuales que incluyen la participación activa de la ciudadanía</t>
  </si>
  <si>
    <t>Porcentaje de avance en la ejecución del proyecto</t>
  </si>
  <si>
    <t>Porcentaje de avance en la elaboración del documento de estándares</t>
  </si>
  <si>
    <t>100% estándar documentado</t>
  </si>
  <si>
    <t>Número de Intervenciones Programadas.</t>
  </si>
  <si>
    <t>Número de intervenciones realizadas</t>
  </si>
  <si>
    <t>100% de avance en el total de acciones programadas del Plan de seguridad y privacidad de la información</t>
  </si>
  <si>
    <t xml:space="preserve">Porcentaje de avances en el cumplimiento de las acciones programadas en el Plan de seguridad y privacidad de la información </t>
  </si>
  <si>
    <t>Porcentaje de avances en el cumplimiento de las acciones programadas en el Plan Estratégico de Tecnologías de la Información - PETI</t>
  </si>
  <si>
    <t>100% de avance en el total de acciones programadas del Plan Estratégico de Tecnologías de la Información - PETI</t>
  </si>
  <si>
    <t xml:space="preserve">Porcentaje de avances en el cumplimiento de las acciones programadas en el Plan de tratamiento de riesgos de seguridad y privacidad de la información </t>
  </si>
  <si>
    <t>100% de avance en el total de acciones programadas del Plan de tratamiento de riesgos de seguridad y privacidad de la información</t>
  </si>
  <si>
    <t xml:space="preserve">Porcentaje de avances en el cumplimiento de las acciones programadas en el Plan Estratégico de Recursos Humanos </t>
  </si>
  <si>
    <t>Porcentaje de avances en el cumplimiento de las acciones programadas en el Plan de bienestar e inventivos</t>
  </si>
  <si>
    <t>100% de avance en el total de acciones programadas en el Plan Estratégico de Recursos Humanos</t>
  </si>
  <si>
    <t>100% de avance en el total de acciones programadas del Plan bienestar e incentivos</t>
  </si>
  <si>
    <t>Porcentaje de avances en el cumplimiento de las acciones programadas en el Plan de Seguridad y Seguridad en el trabajo</t>
  </si>
  <si>
    <t>100% de avance en el total de acciones programadas del Plan Seguridad y Seguridad en el trabajo</t>
  </si>
  <si>
    <t>100% de avance en el total de acciones programadas del Plan de integridad</t>
  </si>
  <si>
    <t>Porcentaje de avances en el cumplimiento de las acciones programadas en el Plan de integridad</t>
  </si>
  <si>
    <t>Compromisos Acumulados de Recursos Propios</t>
  </si>
  <si>
    <t>Total Ordenes de Pago</t>
  </si>
  <si>
    <t>Número de actividades ejecutadas</t>
  </si>
  <si>
    <t>Número de actividades programadas</t>
  </si>
  <si>
    <t xml:space="preserve">Recaudo Acumulado de Recursos Propios </t>
  </si>
  <si>
    <t>Numero de piezas comunicativas realizadas</t>
  </si>
  <si>
    <t xml:space="preserve">∑ Ordenes de pago ≤ 4 días </t>
  </si>
  <si>
    <t>Ingresos</t>
  </si>
  <si>
    <t>Giros</t>
  </si>
  <si>
    <t>Total Recaudo</t>
  </si>
  <si>
    <t>Costos y/o Gastos</t>
  </si>
  <si>
    <t>Total servicios cobrados al cierre del trimestre acumulado</t>
  </si>
  <si>
    <t>Numero de piezas comunicativas programadas para la vigencia</t>
  </si>
  <si>
    <t>100% de avance en las actividades de gestión programadas</t>
  </si>
  <si>
    <t>100% de información requerida para cargar en el sistema de información disciplinaria</t>
  </si>
  <si>
    <t>Porcentaje de procesos disciplinarios cargados en el sistema de información</t>
  </si>
  <si>
    <t>Porcentaje de avances en el cumplimiento de las acciones programadas en el Plan de Acción</t>
  </si>
  <si>
    <t>Porcentaje total de acciones programadas en el Plan de Acción</t>
  </si>
  <si>
    <t>Total de PQRS gestionadas en el mes</t>
  </si>
  <si>
    <t>Número de actividades programadas en el Plan Anual de Auditorías a la fecha de corte</t>
  </si>
  <si>
    <t>Número de PQRS atendidas oportunamente en el mes</t>
  </si>
  <si>
    <t>Número de actividades cumplidas del Plan Anual de Auditorías a la fecha de seguimiento</t>
  </si>
  <si>
    <t>Numerador</t>
  </si>
  <si>
    <t>Denominador</t>
  </si>
  <si>
    <t>Implementación del módulo componente financiero en el software de la intranet de Capital</t>
  </si>
  <si>
    <t>Implementar el módulo componente financiero para uso interno de la Subdirección Financiera</t>
  </si>
  <si>
    <t>Despliegue por fases del módulo financiero sobre el software de la intranet</t>
  </si>
  <si>
    <t>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t>
  </si>
  <si>
    <t xml:space="preserve">Como quiera que el desarrollo del software es producto del trabajo conjunto entre el subdirector financiero y el profesional universitario de Sistemas, la entidad no contempla erogación alguna para el mismo. </t>
  </si>
  <si>
    <t>Implementación de las fases 1 y 2 del componente contractual en el software de gestión.</t>
  </si>
  <si>
    <t>Componente contractual implementado en fase 1 y 2 del software de gestión.</t>
  </si>
  <si>
    <t>Implementar el componente contractual del software de gestión en la primera y segunda fases de desarrollo, a fin de iniciar con el reparto y control de contratos asignados a los abogados de la Coordinación Jurídica.</t>
  </si>
  <si>
    <t>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t>
  </si>
  <si>
    <t>Grupo de Gestión Documental</t>
  </si>
  <si>
    <t>Continuidad en la prestación del servicio</t>
  </si>
  <si>
    <t>Garantizar continuidad en la prestación del servicio superior al 90%</t>
  </si>
  <si>
    <t>Técnica</t>
  </si>
  <si>
    <t>∑(Tiempo en minutos de falla de la seña del periodo reportado)</t>
  </si>
  <si>
    <t>∑(tiempo en minutos de la señal programa total)</t>
  </si>
  <si>
    <t>Cumplimiento del avance en las actividades de gestión definidas.</t>
  </si>
  <si>
    <t>100% - (∑(Tiempo en minutos de falla de la seña del periodo reportado)/∑(tiempo en minutos de la señal programa total)*100%)</t>
  </si>
  <si>
    <t>(Promedio de horas de contenido infantil emitidas en el trimestre+ promedio de horas de contenido para adolescente emitidas en el trimestre)/ (Promedio de horas totales emitidos en el trimestre) *100 %</t>
  </si>
  <si>
    <t>20% a 30%</t>
  </si>
  <si>
    <t>Programación</t>
  </si>
  <si>
    <t>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t>
  </si>
  <si>
    <t>Ejecución Presupuestal</t>
  </si>
  <si>
    <t>Optimización de recursos</t>
  </si>
  <si>
    <t>Ordenes de pago tramitadas y pagadas dentro del periodo correspondiente.</t>
  </si>
  <si>
    <t>Flujo de caja.</t>
  </si>
  <si>
    <t>Estados Contables mensuales</t>
  </si>
  <si>
    <t>Informe de cartera y soporte de envío de facturas.</t>
  </si>
  <si>
    <t>Piezas comunicativas sobre los diferentes productos que genera la subdirección financiera (Estados financieros, tips de facturación, estado de ingresos y gastos)</t>
  </si>
  <si>
    <t>Establecer el superávit permanente en las operaciones de la empresa.</t>
  </si>
  <si>
    <t>Medir la eficiencia del proceso de pagos.</t>
  </si>
  <si>
    <t>Presentar la situación de liquidez de la empresa.</t>
  </si>
  <si>
    <t>Presentar la situación financiera de la empresa en el periodo correspondiente.</t>
  </si>
  <si>
    <t>Identificar las edades de cartera y oportunidad de recaudo de los diferentes clientes de la empresa.</t>
  </si>
  <si>
    <t xml:space="preserve">Dar a conocer al interior de la entidad información relevante de los procesos y la gestión financiera. </t>
  </si>
  <si>
    <t>Recaudo Acumulado de Recursos Propios  / Compromisos Acumulados de Recursos Propios</t>
  </si>
  <si>
    <t xml:space="preserve">∑ Ordenes de pago ≤ 4 días / Total Ordenes de Pago </t>
  </si>
  <si>
    <t>(Recursos ejecutados del Plan Anual de Adquisiciones - PAA de la vigencia 2021 / Total de recursos programados en el Plan Anual de Adquisiciones - PAA para la vigencia 2021)*100%.</t>
  </si>
  <si>
    <t>Recursos ejecutados del Plan Anual de Adquisiciones - PAA de la vigencia 2021</t>
  </si>
  <si>
    <t>Total de recursos programados en el Plan Anual de Adquisiciones - PAA para la vigencia 2021</t>
  </si>
  <si>
    <t>Porcentaje de avance ejecutado en el mes</t>
  </si>
  <si>
    <t>Porcentaje programado de avance para el mes</t>
  </si>
  <si>
    <t>1. A 31 de enero se adelantó en la formulación del Plan de Fortalecimiento Institucional - PFI en su versión inicial y su integración con el plan de acción institucional, ponderada en el 0.83% de avance del mismo.
2. A 28 de febrero, los resultados indican un avance acumulado del 4.48% sobre el 4.94% programado; para el período de análisis, el avance de ejecución del mes es del 3.64% y el cumplimiento al 88.81% de las actividades programadas para el mismo.
3. A 31 de marzo, los resultados indican un avance acumulado del 17.05% sobre el 18.10% programado; para el período de análisis, el avance de ejecución del mes es del 12.58% y el cumplimiento al 95.60% de las actividades programadas para el mismo.</t>
  </si>
  <si>
    <t>REPORTE 2021</t>
  </si>
  <si>
    <t xml:space="preserve">Durante el primer trimestre se realizaron ocho boletines de prensa:  segunda temporada de Frente al Espejo, Historias de Pandemia, Nominados Premios India Catalina, Deportes a Motor, lanzamientos series en abril, ¡No Exageres Enzo!, Frente Al Espejo grana premio India Catalina y nota especial de Frente Al Espejo para El Espectador
Logros:  82 impactos en medios de comunicación a nivel nacional, en prensa escrita, radio e internet. De acuerdo a un rastreo artesanal pues no se cuenta con el servicio de Monitoreo de medios, que permita conocer el alcance real de la gestión. En alianzas se destacan: 2 Alianzas con entidades de gobierno nacional y/o privadas - 1 apoyo en divulgación por parte del sector cultura - 3 acercamientos con evento/entidad del sector privado. </t>
  </si>
  <si>
    <t>Con relación a la Campaña de Bioseguridad se realizaron, con corte al 31 de marzo, cuatro (4) publicaciones en el Boletín Interno y se compartieron en el chat de Capital Comunica dos (2) videos y una (1) piezas sobre puntos de  tomas de muestras Covd-19 al presentarse el 3er pico de la pandemia.</t>
  </si>
  <si>
    <t xml:space="preserve">En el mes de marzo se realizó la publicación en la intranet de la herramienta de cronograma de informes de planeación, para dicho mes se realizó el análisis de la presentación de informes del trimestre analizando el cumplimento respectivo, es preciso aclarar que para el reporte de marzo se presentó un sobre cumplimiento debido a que se presentó un informe que tenía retrasos y estaba programado para ser enviado en el mes de febrero. Así mismo se presentó el balance de informes ante la gerencia a través del documento Plantilla de presentación MARZO 2021, se adjuntan los soportes correspondientes en el drive. </t>
  </si>
  <si>
    <t>Promedio de horas de contenido infantil emitidas en el trimestre+ promedio de horas de contenido para adolescente emitidas en el trimestre</t>
  </si>
  <si>
    <t>Promedio de horas totales emitidos en el trimestre</t>
  </si>
  <si>
    <t>1.2.2</t>
  </si>
  <si>
    <t>20% al 30%</t>
  </si>
  <si>
    <t>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t>
  </si>
  <si>
    <t>Programación infantil y adolescentes en la pantalla principal de Capital
Formula: (Promedio de horas de contenido infantil emitidas en el trimestre+ promedio de horas de contenido para adolescente emitidas en el trimestre)/ (Promedio de horas totales emitidos en el trimestre) *100 %</t>
  </si>
  <si>
    <t>Registro de la continuidad del servicio en términos de  porcentaje vs las fallas que se presentan durante el periodo de medición</t>
  </si>
  <si>
    <t>MECN-FT-048 Registro Monitoreo Señal Fuera del Aire</t>
  </si>
  <si>
    <t>Numerador
Presupuesto asignado a llamados públicos
$3.545.000.000 según plan de adquisiciones incluyendo las convocatorias abiertas
Denominador
$12.099.965.328 presupuesto dirección operativa
De acuerdo con esta información se concluye que a la fecha se cuenta con un cumplimiento del indicador del 29%, estando esto dentro del rango de meta establecido para este indicador.</t>
  </si>
  <si>
    <t>Teniendo en cuenta que se adelantan reuniones de seguimiento a las actividades formuladas de manera semanal al interior del equipo de la Oficina de Control Interno se logró cumplir con lo programado en el Plan Anual de Auditoría para el primer trimestre de la vigencia 2021.</t>
  </si>
  <si>
    <t>Dada la periodicidad cuatrimestral de medición, no aplica reporte de seguimiento con corte al 31 de marzo.</t>
  </si>
  <si>
    <t>Número de acciones cumplidas con fecha vencida del Plan de Mejoramiento por procesos a la fecha de corte</t>
  </si>
  <si>
    <t>Número de acciones vencidas con estado abierto del Plan de Mejoramiento por procesos a la fecha de corte</t>
  </si>
  <si>
    <t>Avances en el cumplimiento de las acciones programadas en el Plan Anticorrupción y de Atención al Ciudadano - PAAC</t>
  </si>
  <si>
    <t>Total de acciones programadas en el Plan Anticorrupción y de Atención al Ciudadano - PAAC</t>
  </si>
  <si>
    <t>En diciembre de 2020 se adelantó la modificación del Manual de contratación adoptado mediante la Resolución 146 de 2020 en la que se señaló que la nueva versión entraría en vigencia el 1 de enero de 2021. Posteriormente, se adelantó una nueva modificación en razón a que se encontraron errores de forma, por lo que mediante la Resolución 018 de 2021 se adoptó la versión vigente del Manual de contratación. En el enlace Drive dispuesto para tal fin, se publicaron las evidencias de las discusiones del comité de contratación para aprobar las correspondientes versiones del citado Manual, las resoluciones expedidas, la socialización de los documentos y las capacitaciones respectivas.</t>
  </si>
  <si>
    <t>1. Se solicitó orientación respecto del acceso al Sistema Distrital de Información Disciplinaria (SID) mediante oficio enviado a la Secretaría Jurídica Distrital por lo que, adicionalmente, mediante correo electrónico del 9 de marzo del presente, se envió solicitud de la creación de usuarios en el SID. 
Al no contar con dicho acceso al sistema, se publicó en la sección "7. Control" del botón de transparencia, numeral "7.6 defensa judicial", la información relativa a  los procesos judiciales de la entidad, incluyendo los procesos disciplinarios.
En tal sentido, el análisis de resultados de la descripción de las actividades corresponde al 0% de avance.</t>
  </si>
  <si>
    <t>1. Se definió la política de prevención de daño antijurídico mediante documento presentado el 31 de agosto de 2020, lo que corresponde al 20 % de avance. 
2. Se adoptó la política de prevención de daño antijurídico mediante la Resolución 102 de 2020 del 31 de agosto de 2020, lo que corresponde al 10 % de avance. 
3. Se socializó la política mediante correo electrónico enviado por la Gerencia el 31 de agosto de 2020 con alcance al mismo del 29 de septiembre de 2020, lo que corresponde al 20 % de avance.
4. A la fecha no se han adelantado capacitaciones al respecto. Sin embargo se está analizando el cronograma para la respectiva programación.
El análisis de resultados de la descripción de las actividades corresponde al 50% de avance.</t>
  </si>
  <si>
    <t>En el primer trimestre de la presente vigencia no se ha realizado ninguna acción que permita avanzar en las actividades propuestas.</t>
  </si>
  <si>
    <t>Para el denominador se relacionan las peticiones que han sido registradas durante el periodo (mes) por la entidad y para el numerador se suman todas aquellas peticiones que fueron solucionadas en cada periodo (mes) sin tener en cuenta que hayan peticiones registradas en el mes pasado puesto que los tiempos de respuesta así lo permiten. Tener en cuenta que en el sistema Bogotá Te Escucha los tiempos están de acuerdo al Decreto 491 de 2020 mientras que en el cuadro de seguimiento por temas de control y oportunidad no, por tanto ninguna petición se ha vencido en términos de Ley.</t>
  </si>
  <si>
    <t>Se realizaron 6 capacitaciones que no estaban contempladas en el cronograma del PIC.</t>
  </si>
  <si>
    <t>Se realizaron las actividades programadas para el trimestre.</t>
  </si>
  <si>
    <t>Se tuvo dos demostraciones con dos proveedores de software de inventarios.</t>
  </si>
  <si>
    <t>Para el periodo reportado, se realizaron las siguientes actividades acorde al plan de seguridad y privacidad de la información 2021:
• Se desarrolló y publicó el plan de seguridad y privacidad de la información AGRI-SI-PL-003 en la intranet de la entidad.
• Se actualizaron tres (3) procedimientos (AGRI-SI-PD-014 COPIAS DE SEGURIDAD, AGRI-SI-PD-018 CREACIÓN DE USUARIOS Y EXPEDICIÓN DE CARNÉ INSTITUCIONAL y AGRI-SI-PD-017 SOPORTE TÉCNICO), los cuales se encuentran en proceso de publicación en la intranet de la entidad.
• Se elaboró el plan de sensibilización del sistema de gestión de seguridad de la información, este será presentado al comité institucional en el mes de abril, con el propósito de que sea aprobado.
• Se han implementado reglas y políticas a nivel de red LAN y WAN  en el FIREWALL de la entidad, con el fin de mitigar riesgos de seguridad en los activos de información de la entidad.
• Se inició con la revisión de la documentación obligatoria requerida por la NTC/ISO:27001, con el fin de iniciar el proceso de certificación de un proceso de la entidad.</t>
  </si>
  <si>
    <t>Para el periodo reportado, se realizaron las siguientes actividades acorde al plan de tratamiento de riesgos de seguridad y privacidad de la información 2021:
• Se desarrolló y publicó el plan de tratamiento de riesgos de seguridad y privacidad de la información 2021 AGRI-SI-PL-004 v1 en la intranet de la entidad.
• Se han implementado reglas y políticas a nivel de red LAN y WAN  en el FIREWALL de la entidad, con el fin de mitigar riesgos de seguridad en los activos de información de la entidad.</t>
  </si>
  <si>
    <t>De las cuatro actividades planteadas para el 2021, se tiene al 80% la del proceso de reclutamiento y selección. Esta en proceso el contrato para la aplicación de pruebas.</t>
  </si>
  <si>
    <t>Se realizaron las actividades programadas en el cronograma de plan de bienestar.</t>
  </si>
  <si>
    <t xml:space="preserve">Durante el primer trimestre del año la gestión PIGA se enfocó en el reporte de informes de la gestión 2020 a los diferentes entes de control (SDA, UAESP, IDEAM). Frente a las actividades del Plan de Acción PIGA se avanzó en las inspecciones a los sistemas de iluminación y de abastecimiento de agua tanto para la sede principal como para la casa de la 69, así mismo se generaron tres piezas comunicativas asociadas a temáticas de gestión ambiental.  </t>
  </si>
  <si>
    <t>Para el primer trimestre 2021, encontramos una disponibilidad de recursos de $7,842 millones de pesos. Esto obedece a que a la fecha no se ha realizado el pago total de  cuentas por pagar a Diciembre 31 de 2020 y en inicio de vigencia los pagos de vigencia 2021 son bajos.</t>
  </si>
  <si>
    <t xml:space="preserve">Para el periodo reportado se han realizado actividades de levantamiento de información funcional, análisis de la misma y se encuentra en proceso de diseño del módulo componente de software de financiera. </t>
  </si>
  <si>
    <t>ESTADO</t>
  </si>
  <si>
    <t>Aceptable</t>
  </si>
  <si>
    <t>Satisfactorio</t>
  </si>
  <si>
    <t>Muy satisfactorio</t>
  </si>
  <si>
    <t>60% - 90%</t>
  </si>
  <si>
    <t>30% - 60%</t>
  </si>
  <si>
    <t>&gt; 90%</t>
  </si>
  <si>
    <t>Total</t>
  </si>
  <si>
    <r>
      <rPr>
        <b/>
        <sz val="10"/>
        <color theme="1"/>
        <rFont val="Arial"/>
        <family val="2"/>
      </rPr>
      <t>Secretaría General</t>
    </r>
    <r>
      <rPr>
        <sz val="10"/>
        <color theme="1"/>
        <rFont val="Arial"/>
        <family val="2"/>
      </rPr>
      <t xml:space="preserve">
(Coordinación Jurídica y Atención Al Ciudadano)</t>
    </r>
  </si>
  <si>
    <r>
      <rPr>
        <b/>
        <sz val="10"/>
        <color theme="1"/>
        <rFont val="Arial"/>
        <family val="2"/>
      </rPr>
      <t xml:space="preserve">Subdirección Administrativa </t>
    </r>
    <r>
      <rPr>
        <sz val="10"/>
        <color theme="1"/>
        <rFont val="Arial"/>
        <family val="2"/>
      </rPr>
      <t xml:space="preserve">
(Talento Humano, Sistemas, Servicios Administrativos, Gestión Documental y Gestión Ambiental)</t>
    </r>
  </si>
  <si>
    <r>
      <rPr>
        <b/>
        <sz val="10"/>
        <color theme="1"/>
        <rFont val="Arial"/>
        <family val="2"/>
      </rPr>
      <t>Subdirección Financiera</t>
    </r>
    <r>
      <rPr>
        <sz val="10"/>
        <color theme="1"/>
        <rFont val="Arial"/>
        <family val="2"/>
      </rPr>
      <t xml:space="preserve">
(Presupuesto, Tesorería, Contabilidad, Facturación)</t>
    </r>
  </si>
  <si>
    <t>#</t>
  </si>
  <si>
    <t>%</t>
  </si>
  <si>
    <t># * Pond</t>
  </si>
  <si>
    <t>El análisis cualitativo es adecuado frente a la información numérica reportada.</t>
  </si>
  <si>
    <t xml:space="preserve">Se recomienda revisar en la formulación del plan la periodicidad propuesta, puesto que se propone el seguimiento trimestral pese a que se cuenta con los datos mensuales. </t>
  </si>
  <si>
    <t>Se valora el cumplimiento en nivel satisfactorio teniendo en cuenta el avance reportado con relación al período de reporte.</t>
  </si>
  <si>
    <t>La formulación del indicador no presenta observaciones.</t>
  </si>
  <si>
    <t xml:space="preserve">Se valora el cumplimiento en nivel muy satisfactorio, teniendo en cuenta el resultado reportado </t>
  </si>
  <si>
    <t>No se encuentran soportes almacenados en la carpeta del Drive. Se recomienda revisar y complementar en lo pertinente para los seguimientos posteriores.</t>
  </si>
  <si>
    <t>Se cuenta con soportes en la carpeta compartida dispuesta en Drive. Es importante que el proceso garantice que los mismos evidencian los resultados reportados.</t>
  </si>
  <si>
    <t>Debido a la periodicidad de la medición, para el primer trimestre esta acción no cuenta con soportes almacenados.</t>
  </si>
  <si>
    <t>Se valora el cumplimiento en un nivel muy satisfactorio, teniendo en cuenta que supera la expectativa de resultado planeada en el período.</t>
  </si>
  <si>
    <t>Se recomienda ampliar el reporte cualitativo del indicador, con el fin de explicar con mayor detalle el resultado numérico reportado.</t>
  </si>
  <si>
    <t>Para el primer trimestre de la vigencia no se tiene reporte de avances en la acción, por lo cual la misma se valora sin avance.</t>
  </si>
  <si>
    <t>El análisis cualitativo sustenta debidamente el estado de la acción sin avance. Se espera que a partir del segundo trimestre se cuente con las gestiones pertinentes sobre la acción planteada.</t>
  </si>
  <si>
    <t>Se recomienda revisar en la formulación del plan la periodicidad propuesta, puesto que el seguimiento se propone mensual y el reporte de datos se está realizando en período trimestral.</t>
  </si>
  <si>
    <t>La formulación del indicador no presenta observaciones. Se recomienda tener en cuenta la recomendación de periodicidad de los indicadores anteriores en el siguiente reporte.</t>
  </si>
  <si>
    <t>De acuerdo con la información numérica reportada, se valora el avance como muy satisfactorio.</t>
  </si>
  <si>
    <t>Se recomienda revisar la consistencia de la información entre el análisis cualitativo y el reporte numérico de la acción. (El reporte numérico menciona 2 comunicaciones gestionadas y al análisis cualitativo indica 7 boletines).</t>
  </si>
  <si>
    <t>Se recomienda revisar la consistencia de la información entre el análisis cualitativo y el reporte numérico de la acción. (El reporte numérico menciona 9 comunicaciones gestionadas y al análisis cualitativo indica 7).</t>
  </si>
  <si>
    <t>Se recomienda revisar la consistencia de la información entre el análisis cualitativo y el reporte numérico de la acción. (El reporte numérico menciona 5 comunicaciones gestionadas y al análisis cualitativo indica 6).</t>
  </si>
  <si>
    <t>Se valora el cumplimiento en nivel satisfactorio teniendo en cuenta el avance reportado con relación al período de reporte y la meta propuesta para el mismo.</t>
  </si>
  <si>
    <t>Se valora el cumplimiento en nivel muy satisfactorio teniendo en cuenta el avance reportado con relación al período de reporte y la meta propuesta para el mismo.</t>
  </si>
  <si>
    <t>Se recomienda revisar la fórmula propuesta para el indicador, puesto que difiere con la información numérica reportada (en el indicador se plantea el número de plataformas a intervenir, mientras que el reporte numérico se hace sobre el porcentaje de avance en dicha intervención.)</t>
  </si>
  <si>
    <t>El análisis cualitativo justifica adecuadamente la gestión del indicador planteado; no obstante se sugiere revisar para reportes posteriores la coherencia entre las cifras y su análisis.</t>
  </si>
  <si>
    <t>Se recomienda revisar la formulación del indicador de acuerdo con las actividades planteadas en el anexo, como base para los reportes de la vigencia.</t>
  </si>
  <si>
    <t>Se recomienda ampliar el reporte cualitativo del indicador, con el fin de justificar de mejor manera las razones de no ejecución en el período, o de evidenciar gestiones relacionadas con el mismo.</t>
  </si>
  <si>
    <t>Se recomienda ampliar el reporte de análisis de la información numérica, con el fin de explicar a mayor detalle las actividades logradas en cada período y que aportan a cumplir la meta propuesta.</t>
  </si>
  <si>
    <t>Se recomienda revisar la formulación del indicador, en términos de porcentaje de avance, de manera que guarde coherencia con lo reportado; así como la programación de metas 2021-2024.</t>
  </si>
  <si>
    <t xml:space="preserve">Se recomienda revisar en la formulación del plan la periodicidad propuesta, puesto que se propone el seguimiento trimestral pese a que se cuenta con los datos mensuales; adicionalmente la fórmula del indicador y la programación de metas 2021-2024. </t>
  </si>
  <si>
    <t>Se recomienda revisar el análisis cualitativo reportado, con el fin de garantizar la coherencia entre éste y los resultados numéricos reportados.</t>
  </si>
  <si>
    <t>Es necesario revisar la formulación del indicador, puesto que el resultado reportado (numérico) difiere de la fórmula propuesta (en porcentajes). Se recomienda tener en cuenta la información del anexo, para el seguimiento y reportes del indicador.</t>
  </si>
  <si>
    <t>Se recomienda revisar en la formulación del plan la periodicidad propuesta, puesto que se propone el seguimiento trimestral pese a que se cuenta con los datos mensuales. Así mismo, se recomienda tener en cuenta la información del anexo, para el seguimiento y reportes del indicador.</t>
  </si>
  <si>
    <t>Se recomienda revisar en la formulación del plan la periodicidad propuesta, puesto que se propone el seguimiento trimestral pese a que se cuenta con los datos mensuales.  Así mismo, se recomienda tener en cuenta la información del anexo, para el seguimiento y reportes del indicador.</t>
  </si>
  <si>
    <t>El avance se valora en nivel satisfactorio, teniendo en cuenta lo reportado frente a la meta establecida. Se recomienda el reporte de información de acuerdo con la periodicidad establecida. Así mismo, es importante que la información reportada esté alienada con los reportes al proyecto de inversión, en lo pertinente.</t>
  </si>
  <si>
    <t>Si bien el análisis cualitativo es adecuado al reporte numérico realizado, se recomienda mayor síntesis en el mismo.</t>
  </si>
  <si>
    <t>El avance se valora en nivel satisfactorio, teniendo en cuenta lo reportado frente a la meta establecida. Se recomienda el reporte de información de acuerdo con la periodicidad establecida. También se recomienda revisar, puesto que en datos, la información es igual a la del indicador anterior.</t>
  </si>
  <si>
    <t>Se observa que el análisis cualitativo es adecuado al reporte numérico realizado.</t>
  </si>
  <si>
    <t>Teniendo en cuenta la meta propuesta y la información reportada por el área, se valora en nivel muy satisfactorio.</t>
  </si>
  <si>
    <t xml:space="preserve">Se recomienda tener en cuenta la información del anexo, para el seguimiento y reportes del indicador. Igualmente, se recomienda revisar el indicador planteado en términos de porcentaje, frente al reporte que se realizó en términos de números. </t>
  </si>
  <si>
    <t>Teniendo en cuenta la meta propuesta y la información reportada por el área, se valora en nivel muy satisfactorio, no obstante se recomienda revisar el reporte, dado que no corresponde a lo formulado en el indicador.</t>
  </si>
  <si>
    <t>Se recomienda revisar el análisis, puesto que difiere de las cifras reportadas. Igualmente se sugiere para futuros reportes que se amplíe este análisis, de forma tal que permita mejor comprensión del reporte.</t>
  </si>
  <si>
    <t>De acuerdo a los datos reportados, se valora el nivel de cumplimiento en muy satisfactorio.</t>
  </si>
  <si>
    <t>El análisis cualitativo es adecuado frente a la información numérica reportada y da cuenta de las gestiones adelantadas, por lo cual no presenta observaciones.</t>
  </si>
  <si>
    <t>La formulación del indicador y la periodicidad reportada son conformes y no presentan observaciones.</t>
  </si>
  <si>
    <t>Los datos reportados evidencian un nivel de cumplimiento muy satisfactorio de las gestiones del plan. Sin embargo se recomienda tener presente la fórmula del indicador, respecto a los datos reportados.</t>
  </si>
  <si>
    <t>No se encontró análisis cualitativo en el reporte. Se requiere que éste sea actualizado para el reporte del segundo trimestre.</t>
  </si>
  <si>
    <t>Los datos reportados evidencian un nivel de cumplimiento muy satisfactorio de las gestiones del plan, por lo cual no hay observaciones adicionales.</t>
  </si>
  <si>
    <t>La formulación del indicador es adecuada y no presenta observaciones.</t>
  </si>
  <si>
    <t>De acuerdo con los datos reportados y la escala de valoración definida, se aprecia el resultado del indicador en nivel de cumplimiento muy satisfactorio y no presenta observaciones adicionales.</t>
  </si>
  <si>
    <t>La formulación del indicador es adecuada y no presenta observaciones. Se recomienda para el indicador revisar los rangos de tolerancia, que permitan identificar en qué niveles hay cumplimiento adecuado y en cuales puede generarse una alerta.</t>
  </si>
  <si>
    <t>Con relación al reporte cuantitativo, se valora el avance en nivel muy satisfactorio respecto a las cifras reportadas y las gestiones adelantadas.</t>
  </si>
  <si>
    <t xml:space="preserve">Se recomienda revisar y ajustar los parámetros del indicador a partir de actividades a desarrollar en la vigencia, con el fin de medir las gestiones de 2021, por ejemplo, orientado al seguimiento o al cumplimiento de los compromisos del plan de la política de prevención del daño antijurídico. </t>
  </si>
  <si>
    <t>El análisis cualitativo refleja los avances en la construcción del documento para 2020; por lo cual se da la recomendación sobre ajustar las acciones y próximos reportes pensados en lo ejecutado durante 2021.</t>
  </si>
  <si>
    <t>Teniendo en cuenta la periodicidad propuesta para el seguimiento de la actividad, la misma se valora sin reporte en esta revisión.</t>
  </si>
  <si>
    <t>Teniendo en cuenta la periodicidad propuesta para el seguimiento de la actividad, no hay un análisis cualitativo registrado. Este corte será incluido en el seguimiento del segundo trimestre.</t>
  </si>
  <si>
    <t>Formulación</t>
  </si>
  <si>
    <t>Reporte</t>
  </si>
  <si>
    <t>Análisis</t>
  </si>
  <si>
    <t>Evidencias</t>
  </si>
  <si>
    <t>ASPECTOS DE REVISIÓN</t>
  </si>
  <si>
    <t>Lecciones aprendidas programadas</t>
  </si>
  <si>
    <t>Realizar seguimientos sobre los avances mensuales a los resultados del plan de fortalecimiento institucional, con el fin de cumplir los requisitos de implementación y mantenimiento del Modelo Integrado de Planeación y Gestión - MIPG.</t>
  </si>
  <si>
    <t>Medir el nivel de cumplimiento en la ejecución de los recursos sobre las adquisiciones planeadas para la vigencia</t>
  </si>
  <si>
    <t>Medios de comunicación interna intervenidos</t>
  </si>
  <si>
    <t>Analizar y potenciar canales de comunicación interna que generen y compartan mensajes integrales y de marca.</t>
  </si>
  <si>
    <t>Número de medios de comunicación interna intervenidos / número de medios planeados a intervenir</t>
  </si>
  <si>
    <t>Realizar publicaciones, campañas, boletines y/o comunicados que ayuden a fomentar la cultura organizacional y el sentido de pertenencia.</t>
  </si>
  <si>
    <t>Comunicaciones sobre cultura organizacional y sentido de pertenencia</t>
  </si>
  <si>
    <t>Gestión de las comunicaciones internas</t>
  </si>
  <si>
    <t>Comunicaciones sobre Bioseguridad</t>
  </si>
  <si>
    <t>Porcentaje de avance en las actividades ejecutadas</t>
  </si>
  <si>
    <t>Porcentaje total de las actividades planeadas</t>
  </si>
  <si>
    <t>Porcentaje de avance en las actividades ejecutadas  / Porcentaje total de las actividades planeadas</t>
  </si>
  <si>
    <t>Porcentaje de avance en la documentación del estándar de relacionamiento con audiencias en redes sociales</t>
  </si>
  <si>
    <t>En relación al cronograma de transferencias secundarias se define la proyección de transferencias secundarias que se realizaran por año y el número de TRD actualizadas</t>
  </si>
  <si>
    <t>Porcentaje de cumplimiento del plan de gestión anual de la Subdirección Administrativa 2021 - 2024</t>
  </si>
  <si>
    <t>Porcentaje de avance en la ejecución de actividades del plan estratégico de la subdirección administrativa</t>
  </si>
  <si>
    <t>100% Total de las acciones programadas en el plan estratégico de la subdirección administrativa</t>
  </si>
  <si>
    <t>Para el 2021 estructurar el Estudio de Mercado, para realizar la adquisición del nuevo sistema de inventario y su posterior implementación.</t>
  </si>
  <si>
    <t>Porcentaje de avance en la estructuración del estudio de mercado y posterior adquisición de un nuevo sistema de inventario.</t>
  </si>
  <si>
    <t>100% estudio de mercado estructurado</t>
  </si>
  <si>
    <t xml:space="preserve">Porcentaje de avances en las Intervenciones realizadas en el bien. </t>
  </si>
  <si>
    <t>(Número de intervenciones realizadas / Número de Intervenciones Programadas)*100%</t>
  </si>
  <si>
    <t>Cumplimiento del plan estratégico de Recursos Humanos</t>
  </si>
  <si>
    <t>Cumplimiento del Plan de Bienestar e Incentivos</t>
  </si>
  <si>
    <t>Cumplimiento del Plan de Seguridad y Salud formulado e implementado.</t>
  </si>
  <si>
    <t>Cumplimiento del plan de integridad</t>
  </si>
  <si>
    <t>Cumplimiento del Plan Institucional de Gestión Ambiental - PIGA</t>
  </si>
  <si>
    <t>Oportunidad en la gestión de órdenes de pago</t>
  </si>
  <si>
    <t>Gestión mensual del flujo de caja</t>
  </si>
  <si>
    <t>Gestión mensual contable - Estados contables</t>
  </si>
  <si>
    <t>Gestión de las comunicaciones internas de la subdirección financiera</t>
  </si>
  <si>
    <t>Porcentaje de avance en las actividades de gestión para la implementación del componente contractual</t>
  </si>
  <si>
    <t>Implementación de las fases planeadas para el despliegue del módulo financiero</t>
  </si>
  <si>
    <t>Porcentaje de avance en las fases de la implementación del componente financiero.</t>
  </si>
  <si>
    <t>Cumplimiento en la revisión y actualización (si es requerido) del Manual de contratación, supervisión e interventoría</t>
  </si>
  <si>
    <t>Revisar el Manual de contratación, supervisión e interventoría y adelantar los ajustes y actualizaciones que se consideren pertinentes y oportunos.</t>
  </si>
  <si>
    <t>Porcentaje de avance en la revisión y actualización del Manual de contratación, supervisión e interventoría</t>
  </si>
  <si>
    <t>Cumplimiento en el cargue y actualización del Sistema distrital de información disciplinaria</t>
  </si>
  <si>
    <t>100% del documento</t>
  </si>
  <si>
    <t>Porcentaje de procesos disciplinarios cargados en el sistema de información / 100% de información requerida para cargar en el sistema de información disciplinaria</t>
  </si>
  <si>
    <t>Seguimiento a la ejecución de recursos del Plan Anual de Adquisiciones - PAA.</t>
  </si>
  <si>
    <t>Número de comunicaciones gestionadas sobre cultura organizacional y sentido de pertenencia / Número de solicitudes de comunicación recibidas sobre cultura organizacional y sentido de pertenencia</t>
  </si>
  <si>
    <t>Número de comunicaciones gestionadas sobre cultura organizacional y sentido de pertenencia</t>
  </si>
  <si>
    <t>Número de solicitudes de comunicación recibidas sobre cultura organizacional y sentido de pertenencia</t>
  </si>
  <si>
    <t>Número de comunicaciones gestionadas en asuntos de Bioseguridad / Número de solicitudes de comunicación recibidas en asuntos de Bioseguridad</t>
  </si>
  <si>
    <t>Número de comunicaciones gestionadas en asuntos de Bioseguridad</t>
  </si>
  <si>
    <t>Número de solicitudes de comunicación recibidas en asuntos de Bioseguridad</t>
  </si>
  <si>
    <t>Número de comunicaciones gestionadas sobre campañas y/o proyectos institucionales / Número de solicitudes de comunicación recibidas sobre campañas y/o proyectos institucionales</t>
  </si>
  <si>
    <t>Número de comunicaciones gestionadas sobre campañas y/o proyectos institucionales</t>
  </si>
  <si>
    <t>Número de solicitudes de comunicación recibidas sobre campañas y/o proyectos institucionales</t>
  </si>
  <si>
    <t>Ejecución de estrategias de comunicación pública y de negocios estratégicos para Capital y para Eureka.</t>
  </si>
  <si>
    <t>Diseñar y ejecutar estrategias de comunicación pública, negocios estratégicos y de educomunicación, que arrojen un fee mínimo de 8.5% para Capital, incluido, Eureka</t>
  </si>
  <si>
    <t>Reporte de los resultados del Plan de posicionamiento respecto a la gestión de recursos de Capital y de Eureka</t>
  </si>
  <si>
    <t>Porcentaje de las estrategias de comunicación pública y de negocios estratégicos, de contratos suscritos que logran el fee mínimo de 8.5%.</t>
  </si>
  <si>
    <t>Da cuenta de las entidades con las que se suscriben estrategias de comunicación pública y de negocios estratégicos para Capital, incluido Eureka, que arrojen un fee mínimo de 8.5% hasta el 85% para Capital. Se espera que este fee se alcance entre un mínimo el 70% hasta un 100% de los contratos suscritos en la vigencia.</t>
  </si>
  <si>
    <t>(Número de contrataciones realizadas por comunicación pública, negocios estratégicos y de educomunicación , que arrojen un fee mínimo de 8.5% para Capital) / (Número total de contratos de comunicación pública, negocios estratégicos y de educomunicación suscritos en el periodo) * 100%</t>
  </si>
  <si>
    <t>Número de contrataciones realizadas por comunicación pública, negocios estratégicos y de educomunicación , que arrojen un fee mínimo de 8.5% para Capital</t>
  </si>
  <si>
    <t>Número total de contratos de comunicación pública, negocios estratégicos y de educomunicación suscritos en el periodo</t>
  </si>
  <si>
    <t>Porcentaje de avance en la intervención de las plataformas</t>
  </si>
  <si>
    <t>100% de las actividades programadas en las plataformas a intervenir</t>
  </si>
  <si>
    <t>Porcentaje de avance en las plataformas digitales optimizadas para la publicación de contenidos (2)</t>
  </si>
  <si>
    <t>Hace referencia al porcentaje de avance en las actividades de intervención de las plataformas tecnológicas, durante la vigencia, para  unificar las páginas web de capital en una sola que cumpla con los lineamientos de gobierno en línea, así como del canal de YouTube.</t>
  </si>
  <si>
    <t>Creación e implementación de un módulo de gestión contractual en el software de gestión de Canal Capital.</t>
  </si>
  <si>
    <t>1. Fase 1: solicitud de la secretaria general al profesional universitario de Sistemas de desarrollo de un software de seguimiento a la gestión contractual (20%)
2. Fase 1: desarrollo del componente contractual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t>
  </si>
  <si>
    <t>Como quiera que el desarrollo del software es producto del trabajo conjunto de la secretaria general y el profesional universitario de Sistemas, la entidad no contempla erogación alguna para el mismo.</t>
  </si>
  <si>
    <t>Mantener actualizada la información del proceso de gestión jurídica y contractual de acuerdo con el régimen de contratación aplicable.</t>
  </si>
  <si>
    <t>Revisión y actualización del manual de contratación</t>
  </si>
  <si>
    <t>Capacitar en asuntos relacionados con la política de prevención de daño antijurídico.</t>
  </si>
  <si>
    <t>2 capacitaciones</t>
  </si>
  <si>
    <t>Capacitación en asuntos relacionados con la política de prevención de daño antijurídico.</t>
  </si>
  <si>
    <t>Capacitar a los supervisores a fin de evitar  que con sus conductas se generen daños antijurídicos</t>
  </si>
  <si>
    <t>Realización de capacitaciones en asuntos relacionados con la política de prevención de daño antijurídico.</t>
  </si>
  <si>
    <t>Suministrar herramientas para adelantar una adecuada supervisión a fin de evitar daños antijurídicos</t>
  </si>
  <si>
    <t>1. Convocar a  supervisores y apoyos a la supervisión a las capacitaciones
2. Capacitar en asuntos relacionados con la política de prevención de daño antijurídico</t>
  </si>
  <si>
    <t>(Actividades/2)*100%</t>
  </si>
  <si>
    <t>La entidad no contempla erogación.</t>
  </si>
  <si>
    <t>Porcentaje de avance en la implementación del plan institucional de capacitación</t>
  </si>
  <si>
    <t xml:space="preserve">Porcentaje de avance en la Organización (Clasificación, Ordenación, Foliación y Almacenamiento) de los expedientes a transferir en cada una de las vigencias.   </t>
  </si>
  <si>
    <t>Número de expedientes a transferir intervenidos / Número de transferencias proyectadas</t>
  </si>
  <si>
    <t>Número de expedientes a transferir intervenidos</t>
  </si>
  <si>
    <t>Número de transferencias proyectadas</t>
  </si>
  <si>
    <t>3.2. Fortalecimiento de los servicios de tecnológicos, misionales y administrativos de Capital, bajo criterios de seguridad y privacidad de la información.</t>
  </si>
  <si>
    <t>3.2.2</t>
  </si>
  <si>
    <t>3.2.3</t>
  </si>
  <si>
    <t>3.2.4</t>
  </si>
  <si>
    <t>Semestral.</t>
  </si>
  <si>
    <t>HOJA DE VIDA DEL INDICADOR</t>
  </si>
  <si>
    <t>ÁREA RESPONSABLE</t>
  </si>
  <si>
    <t>PROYECTO / PLAN</t>
  </si>
  <si>
    <t>LÍDER ESTRATÉGICO</t>
  </si>
  <si>
    <t>RESPONSABLE(S) DE LA MEDICIÓN</t>
  </si>
  <si>
    <t>1. ALINEACIÓN ESTRATÉGICA</t>
  </si>
  <si>
    <t>Correspondencia ODS</t>
  </si>
  <si>
    <t>Correspondencia PDD</t>
  </si>
  <si>
    <t>Correspondencia MIPG</t>
  </si>
  <si>
    <t>2. INFORMACIÓN DEL INDICADOR</t>
  </si>
  <si>
    <t>Iniciativa Estratégica</t>
  </si>
  <si>
    <t>Entregable</t>
  </si>
  <si>
    <t>Indicador de producto</t>
  </si>
  <si>
    <t>Tipo de indicador</t>
  </si>
  <si>
    <t>Fórmula</t>
  </si>
  <si>
    <t>Actividades de gestión</t>
  </si>
  <si>
    <t>3. REPORTE DE INFORMACIÓN</t>
  </si>
  <si>
    <t>INDICADOR</t>
  </si>
  <si>
    <t>RESULTADO</t>
  </si>
  <si>
    <t>4. ANÁLISIS DE RESULTADOS</t>
  </si>
  <si>
    <t>El análisis de resultados en la presente sección debe ser consecuente con los avance obtenidos en el período de seguimiento para el indicador reportado, teniendo en cuenta las actividades de gestión descritas para el mismo.</t>
  </si>
  <si>
    <t>SEGUIMIENTO 1</t>
  </si>
  <si>
    <t>SEGUIMIENTO 2</t>
  </si>
  <si>
    <t>SEGUIMIENTO 3</t>
  </si>
  <si>
    <t>SEGUIMIENTO 4</t>
  </si>
  <si>
    <t>Periodicidad de reporte</t>
  </si>
  <si>
    <t>Descripción de los cambios</t>
  </si>
  <si>
    <t>Creación del plan estratégico y plan de acción institucional de la vigencia 2021, que contiene las acciones propuestas por los líderes y responsables de los procesos orientados al cumplimiento de los objetivos estratégicos. Esta versión se encuentra sujeta a revisión permanente por parte de la Alta Dirección y de los líderes y responsables de los procesos de la entidad en atención a las posibles modificaciones que puedan presentarse o en los objetivos propuestos por las áreas. Así mismo, en cumplimiento de lo establecido mediante Decreto número 612 de 2018 "Por el cual se fijan las directrices para la integración de los planes institucionales y estratégicos al plan de acción por parte de las entidades del estado", se incorporan acciones de medición y seguimiento de los planes allí definidos, exceptuando los siguientes planes que no son aplicables para esta entidad: Plan Anual de Vacantes y Plan de Previsión de Recursos Humanos.</t>
  </si>
  <si>
    <t>Se adelantan las siguientes actualizaciones en los indicadores: 1. Se realiza la eliminación del indicador “Diseño colaborativo de contenidos (Articulación con la estrategia de Gobierno Abierto de Bogotá - GABO)."” a cargo de planeación, puesto que ya se cuenta con un indicador denominado “Actividades de cocreación de contenidos con la ciudadanía (interacción y relacionamiento)" por parte de la dirección operativa, que realiza esta misma medición. 2. Se realizan ajustes en la información de los indicadores de la dirección operativa: “Porcentaje mínimo de presupuesto destinado a producción de contenidos propios en Capital", “Porcentaje de ejecución del proceso para el diseño, producción y circulación de un proyecto audiovisual que incluya la participación activa de la ciudadanía en alguna o varias etapas de dichos procesos”, “Diseño, ejecución y generación del informe final de las actividades cocreación con objetivos de innovación que involucra a la audiencia" y “Porcentaje de avance en la gestión para la suscripción de contratos de las estrategias de comunicación pública y de negocios estratégicos”. 3. Se realiza revisión y ajustes sobre los indicadores de producto asociados a la gestión financiera “Optimización de recursos”, “Cuentas radicadas / cuentas pagadas oportunamente”, “Flujo de caja mensual”, “Estados contables mensuales”, “Informes de cartera mensuales” y “Numero de piezas comunicativas”. 4. Se adelantan ajustes en la ponderación de las actividades de gestión del indicador de seguimiento al “Plan Institucional de Archivos PINAR”, a cargo del área de gestión documental, de la Subdirección Administrativa.5. Se revisa y actualiza el indicador relacionado con el módulo del software de gestión institucional para el proceso contractual y se crea el indicador para las fases de implementación y desarrollo del módulo componente del proceso financiero. 6. Se crea el indicador de medición a las actividades de control interno disciplinario, a cargo del área jurídica de la secretaría general. 7. Se crea el indicador de medición para la atención a las PQRS a la ciudadanía, a cargo del área de servicio a la ciudadanía de la secretaría general.</t>
  </si>
  <si>
    <t>A partir del ejercicio de retroalimentación a los reportes del plan de acción, se adelantaron actualizaciones relacionadas con el mejoramiento en la redacción y fórmulas de algunos de los indicadores planteados, fortalecimiento en la descripción, objetivos y actividades asociadas a los mismos. Adicionalmente, se realizan los siguientes cambios: 1. Se ajusta la meta de la iniciativa estratégica 2.2 y se elimina el indicador 2.2.2 Actividades de cocreación con la ciudadanía (interacción y relacionamiento), por solicitud de la Dirección Operativa, debido a que las acciones a realizar con la empresa SOLE por razones presupuestales no se llevará a cabo en esta vigencia. 2. Se elimina la actividad 3.2.1 Modernización de los equipos móviles de Canal Capital, puesto que se identificó por parte de la Subdirección Administrativa que debido a una serie de modificaciones presupuestales al interior del Canal para esta vigencia no es posible contar con los recursos necesarios para adquirir los equipos; por lo anterior se ajusta adicionalmente la numeración de los indicadores posteriores. 3. Se actualiza la información del indicador 4.1.2, quedando como “Ejecución de estrategias de comunicación pública y de negocios estratégicos para Capital y para Eureka”. 4. Se elimina el indicador “5.10.2 Revisión y actualización, de ser necesario, de la documentación asociada al proceso de gestión jurídica y contractual”, por solicitud del área, puesto que, conforme internamente el área actualiza los procedimientos, revisa la creación, actualización o eliminación de documentos asociados al proceso de gestión jurídica y contractual. 5. Se modifica el indicador, ahora denominado “5.12.1 Capacitación en asuntos relacionados con la política de prevención de daño antijurídico”, en razón a que las actividades inicialmente propuestas en la versión anterior del Plan de Acción Institucional, ya se llevaron a cabo. Además, se consideró establecer 1 capacitación por semestre.</t>
  </si>
  <si>
    <t>01 - (29 de enero)</t>
  </si>
  <si>
    <t>02 - (16 de abril)</t>
  </si>
  <si>
    <t>03 - (13 de junio)</t>
  </si>
  <si>
    <t>Número de capacitaciones realizadas</t>
  </si>
  <si>
    <t>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t>
  </si>
  <si>
    <t>Desarrollar estrategias que incentiven la cocreación con la ciudadanía (mínimo una por año)</t>
  </si>
  <si>
    <t>Porcentaje de avance en la gestión para la suscripción de contratos de las estrategias de comunicación pública y de negocios estratégicos</t>
  </si>
  <si>
    <t>Garantizar la calidad y continuidad de la señal de transmisión del canal, evaluando y monitoreando el correcto funcionamiento de los equipos técnicos que intervienen en la cadena de emisión y transmisión.</t>
  </si>
  <si>
    <t>Evaluar la estabilidad de la señal emitida, a través de la verificación de la continuidad y calidad de la misma.
El indicador mide el porcentaje de fallas que se presentan durante el periodo de medición y por ende permitirá determinar la estabilidad en la prestación del servicio. 
Este corresponde al tiempo en que el canal garantiza la entrega de señal para radiodifusión (TDT) y señal digital (Streaming)</t>
  </si>
  <si>
    <r>
      <t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t>
    </r>
    <r>
      <rPr>
        <b/>
        <i/>
        <sz val="10"/>
        <rFont val="Arial"/>
        <family val="2"/>
      </rPr>
      <t xml:space="preserve">Nota: </t>
    </r>
    <r>
      <rPr>
        <sz val="10"/>
        <rFont val="Arial"/>
        <family val="2"/>
      </rPr>
      <t xml:space="preserve">Se tendrán como exclusiones en la medición los mantenimientos programados que afecten el retorno de señal en alguno de los puntos de monitoreo. </t>
    </r>
  </si>
  <si>
    <t>Ejecutar las fases  1. Análisis, 2. Diseño, 3. Desarrollo, 4. Pruebas y 5. Despliegue del desarrollo, a fin de implementar el componente financiero del software de gestión</t>
  </si>
  <si>
    <t>Número de capacitaciones realizadas / Número de capacitaciones programadas</t>
  </si>
  <si>
    <t>Durante el segundo trimestre del año se dio cumplimiento al 92% de la totalidad de reportes programados realizando los respectivos seguimiento a los proyectos de inversión en SEGPLAN y SPI, dando cumplimiento al seguimiento de la ejecución de los recursos suministrados por el FUTIC para la generación de contenidos, reportando la información se avance en materia de políticas públicas, realizando los seguimientos a los indicadores institucionales y presentando los informes de gestión ambiental asociados con gestión de residuos y movilidad sostenible. Se presentaron retrasos en el desarrollo dele ejercicio de autoevaluación institucional que se realizará en el mes de agosto así como en la actualización del Plan de Acción Institucional que se realizó en el mes de julio.</t>
  </si>
  <si>
    <t>En el trimestre el PAA tuvo varias modificaciones con respecto al presupuesto aprobado en 2020, ya se liberó la disponibilidad y se ajustó el rubro de inversión, por otra parte, también se realizaron traslados internos, para ajustar las adquisiciones a los rubros donde se ajustan de acuerdo con el nuevo catálogo de cuentas. La contratación se ha desarrollado de acuerdo con los cronogramas quedando de la siguiente manera: Funcionamiento 80.3%, Operación 62.0% e Inversión 57.4%</t>
  </si>
  <si>
    <t xml:space="preserve">En el marco de está acción se han adelantado los contactos y reuniones pertinentes con las diferentes comunidades étnicas de acuerdo con lo establecido en los PIAA 2021. Asimismo se han atendido los requerimientos de información y reportes de implementación de los PIAA, Política de Mujer y Equidad y Género, Política de Juventud, Política de Actividades Sexuales Pagadas y compromisos en el marco del enfoque de transversalización de género. </t>
  </si>
  <si>
    <t>Durante el segundo trimestre del año en curso los logros fueron los siguientes: 85 impactos en medios de comunicación a nivel nacional, en prensa escrita, radio e internet. De acuerdo a un rastreo artesanal pues no se cuenta con el servicio de Monitoreo de medios, que permita conocer el alcance real de la gestión.</t>
  </si>
  <si>
    <t>En el segundo trimestre de 2021 se realizó la intervención de los medios de comunicación interna en el Boletín Interno y el chat Capital Comunica.</t>
  </si>
  <si>
    <t>Los datos entregados hacen parte del informe entregado trimestralmente a la Comisión de Regulación de Comunicaciones. La información permite concluir que en el segundo trimestre de 2021 se realizó un aporte del 29,8 % de contenido infantil y adolescente respecto al total de la parrilla de programación del periodo estipulado, que se mide entre 6:00 a.m. y 12:00 p.m. Las cifras alcanzadas se encuentran dentro del rango de meta propuesto, habida cuenta de que la programación infantil y adolescente dio continuidad a los horarios establecidos en el trimestre anterior.</t>
  </si>
  <si>
    <t>Durante el trimestre se realizaron avance en cuanto a las acciones precontractuales pertinentes a la gestión del proyecto "TODOS SOMOS CUIDADANOS", estas acciones representa el 25 % del avance del total de la estrategia determinada para la  vigencia 2021. Por lo anterior se concluye que se ha alcanzado el resultado esperando.
Nota aclaratoria: 
*Se ha presentado como anomalía que pese a los avances precontractuales reportados, por decisiones administrativas, fue necesario suspender el proceso el cual, según la instrucción, se reactivaría en el mes de julio de 2021 tiempo en el que se presentarán al comité de contratación los estudios previos diseñados para aval y de esta manera continuar con la actividad propuesta.
* Se notificó a planeación sobre la necesidad de desvincular del reporte a la alianza gestionada con la fundación SOLE Colombia ya que por decisiones presupuestales no fue viable su realización para esta vigencia</t>
  </si>
  <si>
    <t>Para el segundo trimestre del año 2021 el equipo de proyectos estratégicos y comunicación pública planteó como meta parcial de cumplimiento del indicador un 37% según lo planteado en el Plan de posicionamiento y gestión de recursos de Capital y de Eureka, de acuerdo con lo anterior se obtuvieron los siguientes resultados:
1. Para el componente 1: 39% ejecutado, 18% en ejecución y un 43% por iniciar su gestión
2. Para el componente 2: 55% ejecutado, 33% en ejecución y un 13% por iniciar su gestión
Por lo anterior se concluye que el indicador ha alcanzado el cumplimiento propuesto por el equipo de proyectos estratégicos y comunicación pública para el trimestre.</t>
  </si>
  <si>
    <t>Para el primer trimestre se suscribieron 10 contratos de los cuales el total de estos cuenta con un Fee mínimo del 8,5% del valor total de contrato.</t>
  </si>
  <si>
    <t>Para el segundo trimestre se suscribieron 7 contratos de los cuales 6 cuentan con un Fee mínimo del 8,5% del valor total de contrato.</t>
  </si>
  <si>
    <t xml:space="preserve">Se realizó modificación del numeral 3.3.9.1 del Titulo III Capitulo I del Manual de Contratación mediante la Resolución 038 del 3 de mayo de 2021.  Se incluyen como parte de las evidencias, la Resolución No. 038 del 3 de mayo de 2021, el acta de comité de contratación de fecha 3 de mayo de 2021, en sesión asincrónica fue aprobada la modificación previamente señalada.  </t>
  </si>
  <si>
    <t>Con ocasión a la solicitud del 9 de marzo, el 23 de abril se recibió por correo electrónico la creación de usuarios para el ingreso a la plataforma. 
Así mismo, el pasado 30 de junio se envió solicitud con el propósito de agendar capacitación para el manejo del Sistema Distrital de Información Disciplinaria (SID), pero a la fecha no se ha obtenido respuesta alguna.  
En tal sentido, el análisis de resultados de la descripción de las actividades corresponde al 0% de avance.</t>
  </si>
  <si>
    <t>El 11 de junio se llevó a cabo la capacitación "Socialización nuevas contrataciones" con el fin de explicar ciertos componentes de la política de prevención de daño antijurídico relacionado con los objetos contractuales para las contrataciones nuevas. 
Los demás aspectos de dicha política, se contemplarán mediante capacitación programada para el segundo semestre. 
En tal sentido, el análisis de resultados de la descripción de las actividades corresponde al 0,5 de avance.</t>
  </si>
  <si>
    <t>Se realizó una adecuación y/o estrategia a la página web en materia de accesibilidad web para personas en condición de discapacidad, la misma aún se encuentra en ejecución. Respecto a los servicios del canal se realizó una reunión con Dirección Operativa en la cual se unificaron los servicios que presta el canal actualizando el portafolio de servicios que tiene la entidad y publicándolo en la página web en el siguiente enlace:  https://www.canalcapital.gov.co/sites/default/files/1.2-Catalogo-Capital-2021.atencion-al-ciudadano-ABRIL-2021.pptx.pdf. (Esto teniendo en cuenta el Plan de Mejoramiento que ya se tenia desde la vigencia pasada en el Plan de Acción de la Política).  A principios de este mes se envió el formato de autoevaluación a las áreas competentes para poder definir si hace falta un plan de mejoramiento para las acciones que lo requieran.</t>
  </si>
  <si>
    <t>Se realizaron las actividades programadas para el trimestre correspondientes a cada área de la Subdirección.</t>
  </si>
  <si>
    <t>Durante el segundo trimestre de 2021 no se logró avanzar en el estudio de mercado dado que el área desea replantear la acción inicial en compañía con el área de sistemas.</t>
  </si>
  <si>
    <t>Se realiza una primera intervención de impermeabilización y pintura a la pared izquierda donde se ubica el árbol de la casa.</t>
  </si>
  <si>
    <t>Para el periodo reportado, se realizaron las siguientes actividades acorde al plan de seguridad y privacidad de la información 2021:
• Para el periodo del reporte, se han implementado y documentado reglas y políticas a nivel de LAN y WAN en el FIREWALL de la entidad, lo anterior para salvaguardar la seguridad de la plataforma tecnológica y de la información que es producida y procesada por las áreas de capital en el cumplimiento de las funciones.
• Se realizó la actualización AGRI-SI-GU-008 Guía de Acceso y Servicios de Red, debido al cambio de equipos y configuración lógica en la infraestructura tecnológica de la entidad.
• Socialización de los procedimientos para el traslado, actualización y seguimiento del inventario de equipos tecnológicos entre las Áreas de sistemas y técnica.
• Socialización de la Política de seguridad y privacidad de la información en el marco del plan de capacitación de Talento Humano.
• Se elaboró, público y socializó el Plan de Sensibilización del Sistema de Gestión de Seguridad y Privacidad de la Información a través de comunicaciones internas.</t>
  </si>
  <si>
    <t>Para el periodo reportado, se realizaron las siguientes actividades acorde al plan de tratamiento de riesgos de seguridad y privacidad de la información 2021:
• Se encuentra en proceso de elaboración la “Matriz de riesgos seguridad digital 2021 V1”, esta se inició a elaborar de acuerdo a la guía de gestión de riesgos del MinTIC.
• Implementación de acciones preventivas en los recursos de seguridad perimetral de la entidad, con el fin de prevenir riesgos de incidentes de fuga de información e indisponibilidad de los servicios tecnológicos.</t>
  </si>
  <si>
    <t>Se realizaron de  27 actividades se realizaron 28 estipuladas en el cronograma de plan de bienestar.</t>
  </si>
  <si>
    <t>Se realizaron las 29 capacitaciones que estaban programadas en el cronograma y 6 que no estaban programadas. Se suben a la carpeta las capacitaciones.</t>
  </si>
  <si>
    <t xml:space="preserve">Con corte al 30 de junio de 2021, se evidencia que el valor del recaudo acumulado es inferior al valor de los compromisos al periodo de informe, toda vez que la Secretaria Distrital de Hacienda no realizó el desembolso que se tenia previsto para el mes de mayo de $ 3.100 millones lo cual impacto el flujo de caja, aunado al hecho de que la contratación se adelanto por 12 meses. </t>
  </si>
  <si>
    <t xml:space="preserve">Se encuentra en proceso de desarrollo el ERP INHOUSE, el cual ya tiene habilitado en producción los módulos de pasantes, denuncias, soportes, configuración y en desarrollo se encuentran los módulos de financiera y contratos.
Puesta en producción del ERP del canal en el sitio de la intranet  http://intranet.canalcapital.gov.co/erp/ 
Análisis, diseño, desarrollo, implantación e implementación del módulo de denuncias para el área de talento humano, en funcionamiento en el sitio http://intranet.canalcapital.gov.co/intranet/rrhh/denuncia/ </t>
  </si>
  <si>
    <t>Alerta - Sin avance</t>
  </si>
  <si>
    <t>SEGUIMIENTOS</t>
  </si>
  <si>
    <t>&lt; 30%</t>
  </si>
  <si>
    <t>1. A 30 de abril los resultados indican un avance acumulado del 28.57% sobre el 29.35% programado y cumplimiento del 97.34%; para el período de análisis, el avance de ejecución es del 11.51% sobre el 11.25% programado para el mes, lo que significa un nivel de cumplimiento del 102.25%.
2. A 31 de mayo los resultados indican un avance acumulado del 38.44% sobre el 40.60% programado y cumplimiento del 94.67%; para el período de análisis, el avance de ejecución es del 9.87% sobre el 11.25% programado para el mes, lo que significa un nivel de cumplimiento del 87.74%.
3. A 30 de junio, los resultados indican un avance acumulado del 53.76% sobre el 54.61% programado y cumplimiento del 98.44%; para el período de análisis, el avance de ejecución es del 15.32% sobre el 13.39% programado para el mes, lo que significa un nivel de cumplimiento del 114.43%; esto como consecuencia de avances en actividades que no estaban programadas para el mes por parte de control interno, así como a la finalización de actividades de talento humano.</t>
  </si>
  <si>
    <t>El PAA tuvo varias modificaciones con respecto al presupuesto aprobado en 2020, debido al ajuste que se hizo por el resultado de las cuentas por pagar, estos recursos  se volverán a incorporar cuando se libere la disponibilidad, más adelante tuvo otra modificación por congelamiento de recursos de Hacienda. Pero igualmente se ha venido cumpliendo con los cronogramas de contratación  y con corte al primer trimestre tenemos por grandes rubros la siguiente ejecución: Funcionamiento con un 64.2%, teniendo en cuenta que no se incluyen los gastos de nómina, impuestos, servicios públicos ni cajas menores. Operación con un 52.9% e Inversión con el 36% de ejecución para un total del 48.4% de ejecución en el primer trimestre. De todos modos se debe tener en cuenta lo de las disminuciones de recursos, lo cual al incorporarlos cambiarán estos porcentajes.</t>
  </si>
  <si>
    <t xml:space="preserve">En el marco de esta acción se asistió a las reuniones programadas de manera sectorial con las comunidades Afrocolombianas, Indígenas en sus distintas formas (Cabildos, Autoridades Bakatá, Cabildo Muisca de Bosa y Comunidad Embera), Palenqueros y Raizales. Asimismo, se adelantó y medió la reunión con la dirección operativa y el área de proyectos estratégicos con las comunidades Afrocolombianas, e Indígenas cabildades y pertenecientes a las autoridades Bakatá. 
En lo concerniente a seguimientos, se llevó a cabo la consolidación de información y reporte de las matrices PIAA 2021 I Trimestre que agrupan a todas las comunidades étnicas, así como el reporte de avance de implementación de compromisos con las autoridades indígenas del Cabildo Muisca de Bosa. En lo que respecta a las políticas públicas poblacionales, se realizaron reporten correspondientes a la política de Mujer y Equidad de Género, Actividades Sexuales Pagadas, Población LGBTI y Fenómeno de Habitabilidad en Calle. </t>
  </si>
  <si>
    <t xml:space="preserve">Con corte al 31 de marzo, y de los dos reportes que se deben entregar, se avanzó en un informe trimestral que da cuenta del trabajo realizado por Comunicaciones Estratégicas en cuanto al relacionamiento con entidades públicas y privadas del sector cultural, lo cual da como resultado:
2 Alianzas con entidades de gobierno nacional y/o privadas. 
2 apoyo en divulgación por parte del sector cultura. 
1 acercamiento con evento/entidad del sector audiovisual.
3 acercamiento con evento/entidad del sector privado. </t>
  </si>
  <si>
    <t xml:space="preserve">Con corte al 30 de junio, se avanzó en tres informes mensuales que da cuenta del trabajo realizado por Comunicaciones Estratégicas en cuanto al relacionamiento con entidades públicas y privadas del sector cultural, lo cual da como resultado:                                                                                                                                                                                                                                                                                                                                                           6 Alianzas con entidades de gobierno nacional y/o privadas.   
2 Apoyos en divulgación por parte del sector cultura. 
2 Acercamientos con evento/entidad del sector privado.                                                                                                                                                                                                                                                                                              4 Acercamientos con evento/entidad del sector audiovisual.   </t>
  </si>
  <si>
    <t>En el primer trimestre de 2021 no se realizó una intervención o cambio a algún medio de comunicación interno por no contar con el recurso humano para hacerlo. Al ingresar la nueva persona y la nueva coordinadora de área seguramente se realizará alguna acción a este respecto. Por el momento se continua con los medios: Intranet, Comunicado Interno, Boletín Interno, Conexión Gerencial, Agéndate y Chat Capital Comunica.</t>
  </si>
  <si>
    <t>Han solicitado desde el área de Recursos Humanos incluir los valores de Capital en cada edición del Boletín Interno, acción que se ha realizado en el transcurso del año en los 7 Boletines Internos compartidos hasta el momento, así como información de interés para los colaboradores de Capital.</t>
  </si>
  <si>
    <t>Han solicitado desde el área de Recursos Humanos incluir los valores de Capital en cada edición del Boletín Interno, acción que se ha realizado en el transcurso del segundo trimestre en los  12 Boletines Internos compartidos hasta el momento, así como información de interés para los colaboradores de Capital.</t>
  </si>
  <si>
    <t>Con relación a la Campaña de Bioseguridad se realizaron, con corte al 30 de junio, ocho (8) publicaciones en el Boletín Interno y se compartieron en el chat de Capital Comunica un (1) video y cuatro (4) piezas de campañas o información relevante respecto a temas de bioseguridad y vacunación para el Covid-19.</t>
  </si>
  <si>
    <t>Con corte parcial al 31 de marzo se apoyaron dos campañas: PIGA (reciclaje y uso eficiente de la energía) y Seguridad Informática (Robo de datos personales, correos maliciosos, mensaje de estafa y alerta de seguridad)</t>
  </si>
  <si>
    <t>Para el segundo trimestre del año en curso se apoyaron tres campañas: PIGA  (semana ambiental) a través de dos boletines y tres comunicaciones en el chat de Capital comunica; protocolo interno para manejo de situaciones de acoso sexual y laboral a través de un boletín, un comunicado y una comunicación en el chat de Capital comunica; y senda integridad (valores institucionales) a través de nueve boletines.</t>
  </si>
  <si>
    <t xml:space="preserve">Presupuesto diseñado, apropiado y/o comprometido para llamados públicos de co-creación con sector audiovisual local </t>
  </si>
  <si>
    <t>Se observa que la información cualitativa justifica de manera adecuada la información numérica reportada, por lo cual no se establecen recomendaciones.</t>
  </si>
  <si>
    <t>Los anteriores datos son tomados del informe entregado trimestralmente a la CRC. 
De acuerdo con la información se puede concluir que en el primer trimestre 2020 se realizó un aporte del 17% de contenido infantil y adolescente respecto al total de la parrilla de programación del periodo de medición.
El resultado alcanzado se encuentra dentro del rango de meta propuesta por lo que se concluye que se ha cumplido con el resultado esperado para el periodo de medición teniendo en cuenta que la programación infantil y juvenil se siguió emitiendo en los horarios establecidos.</t>
  </si>
  <si>
    <t>Se ha dado inicio a la etapa de diseño de los proyectos asociados al cumplimiento de este indicador, para dar cuenta de lo anterior se han realizado las siguientes acciones:
1. Se ha estructurado la propuesta de alianza de Capital con la fundación SOLE Colombia
2. Se ha estructurado la "formulación creativa"  del proyecto "TODOS SOMOS CUIDADANOS"
Estas acciones representa el 25 % del avance del total de la estrategia para cumplir a lo largo de 2021. Por lo anterior se da cuenta del cumplimiento del indicador respecto a lo establecido para el trimestre, sin anomalías</t>
  </si>
  <si>
    <t>Para el primer trimestre del año 2021 el equipo de proyectos estratégicos y comunicación pública planteo como meta parcial de cumplimiento del indicador un 10% de avance en la ejecución de actividades de gestión, de acuerdo con lo anterior se obtuvieron los siguientes resultados:
1. Diseño Plan de posicionamiento y gestión de recursos de Capital y de Eureka: Se diseñó al 100% el plan y se efectuaron las acciones de socialización al interior del equipo, esta actividad tiene una ponderación de 10% de aporte al total de la estrategia.
2. Ejecución Plan de posicionamiento y gestión de recursos de Capital y de Eureka, capítulo gestión: Las actividades de ejecución plan se inician en el mes de abril de 2021.
Por lo anterior se concluye que el indicador ha alcanzado el cumplimiento propuesto por el equipo de proyectos estratégicos y comunicación pública para el trimestre.</t>
  </si>
  <si>
    <t>En el primer trimestre del año, como aporte al cumplimiento de este indicador se avanzó en las siguientes actividades:
1. Plan de trabajo interno para el rediseño de página web y optimización del canal de YouTube de capital 
2. Gestión precontractual del proveedor del servicio de rediseño de la página web
Estas actividades representan el 25% de aporte al indicador para la vigencia, por lo anterior se considera cumplido el avance para el trimestre de acuerdo a lo estimado.</t>
  </si>
  <si>
    <t>En el Segundo trimestre del año, como aporte al cumplimiento de este indicador se avanzó en las siguientes actividades:
1.  Se realizó el proceso de validación de la documentación de la Agencia Aguayo en cuanto a los requisitos solicitados, experiencia, certificación de experiencia en el desarrollo de actividades relacionadas con el objeto a contratar para su posterior firma del contrato.
2. Desde el mes de abril empezó la ejecución del back optimización de YouTube. Esta optimización consiste en la revisión del  estado previo del contenido que ya estaba subido en nuestro canal y su mejoramiento para mejorar el desempeño de dicho contenido en la plataforma. Dentro de este proceso también entran los contenidos nuevos que se suben al canal, pues requieren el mismo tratamiento. De abril a junio se logró optimizar 1026 videos.</t>
  </si>
  <si>
    <t>En el primer trimestre de 2021 se ha tenido un avance en el edición del documento asociado al relacionamiento con las audiencias en redes sociales en un 100%, este avance representa un 25% de la ejecución del indicador, por lo anterior se considera cumplido el porcentaje establecido para el primer trimestre.</t>
  </si>
  <si>
    <t>En el segundo trimestre de 2021 se evidenció cómo se ha venido realizando la gestión de audiencias con dos ejemplos concretos de las actividades de participación #MiPropuesta y #MiPropuestaEs, este avance representa un 50% de la ejecución del indicador, por lo anterior se considera cumplido el porcentaje establecido para el segundo trimestre.</t>
  </si>
  <si>
    <t xml:space="preserve">En relación al planteamiento de las actividades se realiza la verificación de los tiempos y disposición de los archivos físicos definiendo el volumen documental para las transferencias primarias. </t>
  </si>
  <si>
    <t>Se realizo la validación del período No 1 verificando las series correspondientes a transferir de acuerdo con las tablas de valoración documental clasificación de las series de conservación total y levantamiento del inventario documental inicial.</t>
  </si>
  <si>
    <t xml:space="preserve">Porcentaje de avance en la estructuración del estudio de mercado y adquisición </t>
  </si>
  <si>
    <t>De las cuatro actividades programadas durante la vigencia 2021, se avanza en 2 de ellas, las cuales son adecuación de portería en casa de la 69 e instalación de herrajes en algunas puertas en casa de la 69.</t>
  </si>
  <si>
    <t>Para el periodo reportado, se realizaron las siguientes actividades acorde a la hoja de ruta programada para la ejecución del PETI 2021-2024:
• Adquisición e implementación del Switch de cord: El Switch de cord fue adquirido y este se encuentra en proceso de alistamiento y puesta en marcha en la infraestructura tecnológica.
• Adquisición e implementación de 7 Switch capa 3: Los switches fueron adquiridos y se encuentra en proceso de alistamiento y puesta en marcha para ser operativos.
• Data center con replicación tier 2 en la sede principal: Se encuentra en proceso de implementación del canal MPLS para la interconexión entre data center calle 26 con calle 69.
• Despliegue y publicación de segmentos IPV6 a nivel LAN y WAN en Capital: La implementación del protocolo de Ipv6, se encuentra en actividades de afinamiento de configuraciones por la implementación de los nuevos equipos de networking y el cambio del proveedor de conectividad.
• Adquisición e implementación del sistema de seguridad perimetral firewall para alta disponibilidad: el firewall fue adquirido y se encuentra en proceso de implementación en la plataforma tecnológica de la entidad.
• Desarrollar los módulos componentes del software de financiera en el marco del sistema de gestión empresarial: se realizaron procesos de levantamiento de información, análisis y se encuentra en proceso de diseño del módulo componente de software.</t>
  </si>
  <si>
    <t>Para el periodo reportado, se realizaron las siguientes actividades acorde a la hoja de ruta programada para la ejecución del PETI 2021-2024:
• El Switch de CORE  se implementó  en redundancia y se encuentra operativo en la infraestructura tecnológica.
• Se han implementado 4 switches en la sede 1 avenida el dorado, estos se encuentran operativos en la infraestructura tecnológica.
• Se implementó canal de datos de 40 Mb (MPLS) en la sede 2 (Chapinero) con interconexión a la sede 1 (Avenida el dorado), alcanzado el servicio de internet (COLUMBUS-LEVEL). 
• Afinamiento de reglas y políticas sobre el protocolo IPv6 en el firewall Fortinet 401E
• Se implementó firewall Fortinet 401E en HA (High availability) alta disponibilidad, se encuentra operativo en la infraestructura tecnológica. Actualmente en afinamiento de reglas y políticas. 
• Se encuentra en proceso de desarrollo el ERP INHOUSE, el cual ya tiene habilitado en producción los módulos de pasantes, denuncias, soportes, configuración y en desarrollo se encuentran los módulos de financiera y contratos.</t>
  </si>
  <si>
    <t>Durante el primer trimestre se presento indisponibilidad en la señal de streaming por fallas en el servicio de internet en el Canal el día 14 de marzo, se reporta la continuidad del servicio par el mes de Marzo del 99%, el promedio para el trimestres de la continuidad en la prestación del servicio es del 99%.</t>
  </si>
  <si>
    <t>Durante el segundo trimestre se presento indisponibilidad en la señal de streaming por fallas en el servicio de internet en el Canal el día 15 de abril, el promedio para el trimestres de la continuidad en la prestación del servicio es del 100%.</t>
  </si>
  <si>
    <t>De los cuatro ítems del plan, el punto 1 esta en el 80% que es contrato de pruebas para el proceso de selección. Del punto 2  se actualizó la matriz de peligros y valoración de riesgos. Del punto 3 esta en proceso de contratación. Del 4 ítem. Se realizó la actualización del manual de inducción para contratistas y se envía el kit de bienvenida. Al igual se realiza inducción para los nuevos servidores de planta.</t>
  </si>
  <si>
    <t>De acuerdo con el plan de trabajo anual del sistema de gestión de seguridad y salud en el trabajo se adelantaron las siguientes actividades (reuniones mensuales del COPASST, reunión trimestral del CCL, actividades de prevención de contagio COVID 19, uso de elementos de protección personal, pausas activas), se reprogramó la actividad de riesgo psicosocial para el mes de abril, el cumplimiento del plan se ha adaptado en concordancia con las diferentes modalidades de trabajo que desarrollan los diferentes equipos de trabajo de la entidad.</t>
  </si>
  <si>
    <t>De acuerdo con el plan de trabajo anual del sistema de gestión de seguridad y salud en el trabajo se adelantaron las siguientes actividades (reuniones mensuales del COPASST, reunión trimestral del CCL, convocatoria y elección del CCL, actividades de prevención de contagio COVID 19, pausas activas, capacitaciones en manejos de sustancias químicas, riesgo psicosocial, riesgo eléctrico, seguridad en la vía), el cumplimiento del plan se ha adaptado en concordancia con las diferentes modalidades de trabajo que desarrollan los diferentes equipos de trabajo de la entidad.</t>
  </si>
  <si>
    <t>De las actividades del cronograma se han realizado las del segundo trimestre. Las cuales se suben en el drive.</t>
  </si>
  <si>
    <t xml:space="preserve">Si bien se han llevado a cabo varias actividades importantes de gestión, los retrasos en la contratación han afectado el normal cumplimiento de la gestión ambiental del Canal lo que hace necesario ejecutar las contrataciones programadas en el tercer trimestre del año con el fin de no presentar rezagos ni debilidades en la ejecución de los diferentes programas de gestión ambiental. Es importante resaltar la ejecución de las diferentes actividades de gestión tales como la planificación y ejecución de la semana ambiental y los informes de inspección de los diferentes sistemas de las dos sedes de la entidad. Así mismo se presenta un retraso en la ejecución de la meta de movilidad sostenible que se espera tener lista en el tercer trimestre del año. </t>
  </si>
  <si>
    <t>Con corte a 31 de marzo la entidad presenta unos compromisos superiores al valor recaudado, por lo cual se arroja un resultado del indicador inferior a 1; es de anotar que los compromisos son superiores dado que se adelantó contratación en el rubro de Adquisición de Bienes y Servicios  por 12 meses. Se recomienda realizar revisión del flujo de caja y el plan anual de adquisiciones para determinar el respaldo de los pagos de los compromisos adquiridos, como al igual el planteamiento de estrategias de ventas de servicios para incrementar el recaudo de recursos propios.</t>
  </si>
  <si>
    <t>Durante el primer trimestre se genero un cumplimiento promedio del 88% al pago de las cuentas de contratistas y proveedores en un tiempo promedio de 4 días, esto indica que se esta realizando una buena gestión en la cadena de: radicación, liquidación, descargue de presupuesto y pago tesoral.</t>
  </si>
  <si>
    <t>Durante el segundo trimestre se genero un cumplimiento promedio del 78,12% al pago de las cuentas de contratistas y proveedores en un tiempo promedio de 4 días, esto indica que se esta realizando una buena gestión en la cadena de: radicación, liquidación, descargue de presupuesto y pago tesoral.</t>
  </si>
  <si>
    <t>En el  segundo  trimestre 2021, encontramos una disponibilidad de recursos de $3,877 millones de pesos. Teniendo en cuenta que para este periodo no ingreso los recursos de aporte ordinario programado para el mes de mayo de 2021 por parte de la Secretaria de Hacienda. Arrojando una disminución significativa en los ingresos recibidos y también se presentó un desembolso mayor por el pago de sentencias judiciales por valor de $1,252 millones de pesos.</t>
  </si>
  <si>
    <t>A 31 de marzo de 2021 se obtuvo una gestión de cobro 89,21%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119.338.738</t>
  </si>
  <si>
    <t>A 30 de junio de 2021 se obtuvo una gestión de cobro 98,12%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50,191,539</t>
  </si>
  <si>
    <t>El día 19 de enero de 2021, mediante correo del área de comunicaciones (comunicado interno No. 47) se publicó el nuevo catálogo de las cuentas presupuestales - CCPET</t>
  </si>
  <si>
    <t xml:space="preserve">Con fundamento en el seguimiento se observa que las actividades 1, 3, 4 y 5  se adelantaron en su totalidad como se advierte en las evidencias cargadas en el Drive. Por su parte, la actividad 2 que corresponde al desarrollo completo del software se calcula con avance del 3 % del veinte 20 % proyectado para la vigencia 2021 en razón a que según lo reportado por el profesional universitario de Sistemas, Mauris Antonio Ávila, el avance del software en relación con el 100 %, es del 15 %. </t>
  </si>
  <si>
    <t>Teniendo en cuenta el ajuste realizado al indicador relacionado con la medición de actividades propias de la vigencia fue necesario actualizar el reporte del primer trimestre, para el cual el avance estimado fue de un 30%. A continuación se relacionan los avances estimados para el segundo trimestre de 2021:
De 1. fase 1:  solicitud de la secretaria general....
Completa 20% ejecutado
2. Fase 1. desarrollo del componente contractual del software....
el desarrollo de las actualizaciones de integración al ERP Capital se encuentran en desarrollo, los mismos dependen de la integración de la base de datos  y la parametrización de usuarios al total de los módulos, para el periodo evaluado dichas actualizaciones se encuentran en un 10% de desarrollo
3. Fase 1. puesta en marcha del software para uso....
En la actualidad el software se encuentra en operación y el lanzamiento de sus actualizaciones dependen del desarrollo de otros módulos componentes del ERP, por lo cual para esta actividad no se reporta porcentaje de avance.
4. fase 2: desarrollo de mejora del software para uso de otras....
Se realiza la actualización de los módulos de soporte, pasantes, recursos humanos y el lanzamiento del módulo de configuración con un avance del 9% 
5. fase 2. capacitación para usuarios del software...
Para el lanzamiento de los módulos antes expuestos se realizaron videos y capacitación a usuarios administradores con un avance ponderado igual a su desarrollo del 9%. Como evidencia se aporte correo electrónico del Ingeniero Mauris Ávila Profesional Universitario de Sistemas.</t>
  </si>
  <si>
    <t>Número de capacitaciones programadas</t>
  </si>
  <si>
    <t>El análisis cualitativo no detalla las razones por las cuales no se cuenta con avance en la actividad; por lo cual se recomienda ampliar el nivel de detalle en la información para reportes posteriores</t>
  </si>
  <si>
    <t xml:space="preserve">El resultado obedece al seguimiento que se efectuó semanalmente sobre la gestión de la oficina. En dicho espacio se reporta el estado de la actividades y se da las alertas ante posibles retrasos, lo que conllevo a que se adelantaron las acciones de manera oportuna que llevaran cumplimiento de las actividades en el periodo correspondiente. </t>
  </si>
  <si>
    <t xml:space="preserve">Se reporta el indicador con corte al 30 de abril. Se adelantaron mesas de trabajo con las áreas que presentan retraso en el cumplimiento de las acciones del plan de mejoramiento. Se entrego a las áreas la herramienta para que efectúen el reporte permanente (solo se cierra en la fecha de seguimiento para el análisis y evaluación por parte del equipo de la Oficina de Control Interno) y cargue de evidencias correspondientes la cual se puso en conocimiento vía correo electrónico. Se ha visto una mejora en el cierre de las acciones. </t>
  </si>
  <si>
    <t xml:space="preserve">El resultado obtenido se debe a que las áreas de la entidad reportan que el cumplimiento de las acciones formuladas se programaron para el segundo semestre de la vigencia. Para el reporte de PAAC también se socializo al interior de la entidad la herramienta correspondiente la cual esta habilitada de forma permanente (salvo en fechas de seguimiento y evaluación que realiza la oficina de Control Interno). </t>
  </si>
  <si>
    <t>Valor</t>
  </si>
  <si>
    <t>Antes</t>
  </si>
  <si>
    <t>Puntero</t>
  </si>
  <si>
    <t>Después</t>
  </si>
  <si>
    <t>De acuerdo a la información financiera con corte a 31 de marzo de 2021, podemos decir que la entidad presenta una liquidez optima, por lo cual puede cumplir con sus deudas a corto plazo.
De igual manera presenta una solvencia suficiente para poder atender las obligaciones que surge producto del desarrollo de su actividad misional.
Canal Capital cuenta con el suficiente musculo financiero representado en los bancos para atender todas aquellas obligaciones de pago inmediato y aun así posee recursos para seguir operando con normalidad, sin tener que llegar a comprometerse con la venta de sus activos fijos o recurrir a créditos bancarios.
La entidad presentó un déficit al cierre de marzo, sustentado principalmente por que los costos se incrementaron en un 60% y los ingresos solo aumentaron en un 14% en comparación al mes inmediatamente anterior, esto se debió a que no alcanzo a quedar efectiva la Subvención de la SHD al cierre de mes, la cual apalancarían los costos de operación del periodo.</t>
  </si>
  <si>
    <t>Para el segundo trimestre 30 de junio, se da cumplimiento a lo programado.</t>
  </si>
  <si>
    <t>Numerador: Con corte al mes de junio de 2021 se ha realizado la gestión contractual equivalente a $ 2.177.947.917 representados en las siguientes contrataciones:
*proveedor TAYFERCABEZA valor del contrato: $519.969.429 
*proveedor UT LFP  valor del contrato:$ 519.978.488 
*proveedor LA PIRAGNA EPICA  valor del contrato:$ 618.000.000
*proveedor FILMAWA SAS  valor del contrato:$ 520.000.000
Presupuesto asignado a llamados públicos total es de $ 3.359.147.917 según plan de adquisiciones incluyendo las convocatorias abiertas, para el segundo semestre de 2021 se esperar realizar la gestión correspondiente a la adjudicación de $1.181.200.000
Nota aclaratoria: El presupuesto inicial asignado fue de $ 3.545.000.000, para el segundo trimestre se han realizado ajustes en el presupuesto debido a razones tales como: Los valores contratados han tenido modificaciones, Los procesos abiertos han quedo desiertos o no se ha dado aval a la contratación. Todo lo anterior hace que la cifra del numerador tenga un ajuste quedando así: $3.359.147.917
Denominador: $12.099.965.328 presupuesto dirección operativa. De acuerdo con esta información se concluye que a la fecha se cuenta con un cumplimiento del indicador del 27,7%, estando esto dentro del rango de meta establecido para este indicador.</t>
  </si>
  <si>
    <t>(Porcentaje de avances en el cumplimiento de las acciones programadas en el Plan Institucional de Capacitación / Porcentaje programado de cumplimiento del Plan Institucional de Capacitación para la vigencia)*100%.</t>
  </si>
  <si>
    <t>Porcentaje de avances ejecutado para el mes / Porcentaje de avances programado para el mes</t>
  </si>
  <si>
    <t>Porcentaje de avance en la ejecución de actividades del plan estratégico de la subdirección administrativa / Porcentaje programado de cumplimiento del Plan Estratégico de la Subdirección Administrativa para la vigencia</t>
  </si>
  <si>
    <t>Realizar el seguimiento al cumplimiento de las actividades programadas en el Plan Estratégico de tecnologías de la información - PETI</t>
  </si>
  <si>
    <t>(Porcentaje de avances en el cumplimiento de las acciones programadas en el Estratégico de tecnologías de la información - PETI / Porcentaje programado de cumplimiento del Plan Estratégico de de tecnologías de la información - PETI para la vigencia)*100%.</t>
  </si>
  <si>
    <t>(Porcentaje de avances en el cumplimiento de las acciones programadas en el Plan de seguridad y privacidad de la información / Porcentaje programado de cumplimiento del Plan de seguridad y privacidad de la información para la vigencia)*100%.</t>
  </si>
  <si>
    <t>(Porcentaje de avances en el cumplimiento de las acciones programadas en el Plan de tratamiento de riesgos de seguridad y privacidad de la información / Porcentaje programado de cumplimiento del Plan de tratamiento de riesgos de  seguridad y privacidad de la información para la vigencia)*100%.</t>
  </si>
  <si>
    <t>(Porcentaje de avances en el cumplimiento de las acciones programadas en el Plan Estratégico de Recursos Humanos / Porcentaje programado de cumplimiento del Plan Estratégico de Recursos Humanos para la vigencia)*100%.</t>
  </si>
  <si>
    <t>(Porcentaje de avances en el cumplimiento de las acciones programadas en el Plan de bienestar e inventivos / Porcentaje programado de cumplimiento del Plan de Bienestar e incentivos para la vigencia)*100%.</t>
  </si>
  <si>
    <t>(Porcentaje de avances en el cumplimiento de las acciones programadas en el Plan de Seguridad y Seguridad en el trabajo / Porcentaje programado de cumplimiento del Plan de Seguridad y Salud en el Trabajo para la vigencia)*100%.</t>
  </si>
  <si>
    <t>(Porcentaje de avances en el cumplimiento de las acciones programadas en el Plan de integridad / Porcentaje programado de cumplimiento del Plan de Integridad para la vigencia)*100%.</t>
  </si>
  <si>
    <t>Ingresos / Giros</t>
  </si>
  <si>
    <t>Ingresos - Costos y/o Gastos</t>
  </si>
  <si>
    <t>Porcentaje de avance en las actividades de gestión para la implementación del componente contractual / Porcentaje de avance programado para la vigencia.</t>
  </si>
  <si>
    <t>Porcentaje de avance en las fases de la implementación del componente financiero / Porcentaje de avance programado para la vigencia.</t>
  </si>
  <si>
    <t>Porcentaje de avance en la revisión y actualización del Manual de contratación, supervisión e interventoría / Porcentaje de avance programado para la vigencia.</t>
  </si>
  <si>
    <t>(Porcentaje de avances en el cumplimiento de las acciones programadas en el Plan de Acción de Servicio a la Ciudadanía / Porcentaje total de acciones programadas en el Plan de Acción de Servicio a la Ciudadanía)*100%</t>
  </si>
  <si>
    <t>Reporte 1</t>
  </si>
  <si>
    <t>Reporte 2</t>
  </si>
  <si>
    <t>Reporte 3</t>
  </si>
  <si>
    <t>1. A 31 de julio los resultados indican un avance acumulado del 64.16% sobre el 63.06% programado y cumplimiento del 101.75%; para el período de análisis, el avance de ejecución es del 10.40% sobre el 8.44% programado para el mes, lo que significa un nivel de cumplimiento del 123.16%; esto como consecuencia de avances y finalización de actividades que no estaban programadas para el mes por parte de control interno, en el ejercicio de evaluación independiente al sistema de control interno, así como en la actualización del manual de auditorías.
2. A 31 de Agosto los resultados indican un avance acumulado del 74.44% sobre el 74.95% programado y cumplimiento del 99.32%; para el período de análisis, el avance de ejecución es del 10.28% sobre el 11.89% programado para el mes, lo que significa un nivel de cumplimiento del 86.46%; Para el período se presentaron cumplimientos avances superiores de lo planeado en actividades relacionadas con el manual del MIPG, matrices de riesgos y avances en la actualización del modelo de operación por procesos.
3. A 30 de septiembre los resultados indican un avance acumulado del 82.13% sobre el 85.05% programado y cumplimiento del 99.57%; para el período de análisis, el avance de ejecución es del 7.68% sobre el 7.80% programado para el mes, lo que significa un nivel de cumplimiento del 98.53%; Para el período se presentan rezagos menores en las actividades relacionadas con la adopción de lineamientos de lenguaje claro, por parte de servicio al ciudadano, que no se adelantaron en el mes analizado, pero que aún cuentan con programación.</t>
  </si>
  <si>
    <t>Durante el tercer trimestre del año en curso los logros fueron los siguientes: 107 impactos en medios de comunicación a nivel nacional, en prensa escrita, radio e internet. De acuerdo a un rastreo artesanal pues no se cuenta con el servicio de Monitoreo de medios, que permita conocer el alcance real de la gestión.</t>
  </si>
  <si>
    <t>Numerador:
Con corte al mes de septiembre de 2021 se ha realizado la gestión contractual equivalente a $ 2.916.947.917 representados en las siguientes contrataciones:
*proveedor TAYFERCABEZA valor del contrato: $519.969.429 
*proveedor UT LFP  valor del contrato:$ 519.978.488 
*proveedor LA PIRAGNA EPICA  valor del contrato:$ 618.000.000
*proveedor FILMAWA SAS  valor del contrato:$ 520.000.000
*proveedor GUOQUITOQUI SAS valor del contrato: $260.000.000
*proveedor DIECISÉIS 9 FILMS SAS valor del contrato: $260.000.000
*proveedor RAFAEL POVEDA TELEVISIÓN- mesa capital valor del contrato: $219.000.000
Presupuesto asignado a llamados públicos total es de $ 3.347.147.917 según plan de adquisiciones incluyendo las convocatorias abiertas, para el cuarto trimestre de 2021 se esperar realizar la gestión correspondiente a la adjudicación de $ 430.000.000
Denominador
El presupuesto inicial asignado para las producciones de dirección operativa fue de $12.099.965.328, sin embargo, para este periodo este valor ha sido ajustado a $8,558,626,628, por lo anterior. La entidad a través de la alta dirección, decidió aumentar en 5% los gastos de funcionamiento cubiertos por el plan de inversión del FUTIC, así mismo, respecto a los recursos hacienda la alta dirección decidió aumentar el cupo para el gasto de la venta generando la disminución del presupuesto para la producción de contenidos, afectando la variable "Presupuesto total para la producción de contenidos propios recursos hacienda y FuTic plan de inversión" y por ende el resultado del indicador, es por esto que el peso (respecto a la relación matemática del indicador) de los llamados públicos de creación con sector audiovisual local, aumentó respecto a lo que se había planeado inicialmente.
De acuerdo con esta información se concluye que a la fecha se cuenta con un cumplimiento del indicador del 39,1%, superando el rango de meta establecido para este indicador. Se analizará el comportamiento en lo que queda de la vigencia y se solicitará asesoría por parte de Planeación, para conocer los pasos a seguir, respecto a este aumento en el cumplimiento y solicitar los cambios en la meta.</t>
  </si>
  <si>
    <t>El proyecto CUIDADANOS (antes denominado TODOS SOMOS CUIDADANOS) viene adelantando desde inicios de septiembre el llamado a participar a la ciudadanía en la actividad denominada “Director por un Día” a través de piezas promocionales y un tutorial que guía a los interesados en hacer un trabajo colaborativo de registro y narración de eventos, personajes y situaciones relevantes de la vida cotidiana de la ciudad junto con el equipo del programa.  Paralelamente se adelantó el proceso de selección para la empresa de producción que se hará cargo de la administración delegada del recurso para la producción del proyecto.
Por otro lado, se adelantaron las contrataciones del director, productor e investigador, así como de gráfico y músico para avanzar en las tareas correspondientes al ajuste de formato para 2021, diseño de paquete gráfico, piezas musicales originales y de investigaciones de las piezas. Con base en la información inicialmente rastreada se escribieron los guiones y grabaron los pilotos de director por un Día y Videografías Cuidadanas.</t>
  </si>
  <si>
    <t xml:space="preserve">Teniendo en cuenta que la revisión y actualización del manual de contratación no abarcó lo relativo a la supervisión e interventoría, se inició para este periodo la actualización de este componente en un documento aparte.  </t>
  </si>
  <si>
    <t>El 24 de agosto y el 10 de septiembre se llevaron a cabo capacitaciones de "Socialización Política de prevención de daño antijurídico" a supervisores y al equipo jurídico, con el fin de explicar cuáles son las causas más recurrentes que impactan al canal en materia litigiosa.
El 1° de octubre se llevó a cabo la capacitación "Estudios previos y supervisión de contratos" a colaboradores del canal en general, con el fin de establecer directrices respecto de la elaboración de la justificación, enfoques específicos a proyectos o actividades y obligaciones.
Aun cuando la periodicidad del reporte es semestral se informa seguimiento de avance a la fecha.</t>
  </si>
  <si>
    <t>Se diligenció el Plan de Acción de la Política Institucional de Servicio al Ciudadano (autoevaluación) con las áreas competentes, el plan de mejoramiento resultado de esa autoevaluación se propondrá para el mes de noviembre con la revisión de Control Interno.</t>
  </si>
  <si>
    <t>Con corte a 30 de septiembre del año en curso los ingresos propios son inferiores en $2.961 millones frente a las obligaciones que se deben cubrir con dichos ingreso; lo anterior obedece al bajo recaudo en el rubro de ventas y servicios. Se espera para el cuarto trimestre alcanzar la meta de recaudo.</t>
  </si>
  <si>
    <t>Alerta</t>
  </si>
  <si>
    <t>El día 29 de septiembre de 2021, mediante correo del área de comunicaciones (Boletín No. 33) se publico nuevamente los pasos para el diligenciamiento adecuado de las cuentas de cobro teniendo en cuenta que es el motivo por el cual se genera la mayor parte de las devoluciones de las cuentas de cobro de los contratistas (personas naturales)</t>
  </si>
  <si>
    <t>se realizo revisión del listado maestro identificando formatos actualizados, eliminados y creados</t>
  </si>
  <si>
    <t>Se tuvo acercamientos con el área de Sistemas de la Entidad donde se planteó la posibilidad de implementar un solo software de información entre Contabilidad y Almacén, es decir, unirlo con el sistema SIIGO actual de contabilidad. Queda pendiente realizar una reunión con los asesores de SIIGO para validar esta información.</t>
  </si>
  <si>
    <t>Se realizan 18 capacitaciones de 17 que estaban programadas en el cronograma y se realizan 21 capacitaciones que no estaban programadas.</t>
  </si>
  <si>
    <t>Se realizaron 31 actividades de 28 estipuladas  en el cronograma de plan de bienestar.</t>
  </si>
  <si>
    <t>Para el tercer trimestre se suscribieron 23 contratos de los cuales 23 cuentan con un Fee mínimo del 8,5% del valor total de contrato.</t>
  </si>
  <si>
    <t>Plan de Mejoramiento</t>
  </si>
  <si>
    <t>Plan Anticorrupción y de Atención al Ciudadano - PAAC</t>
  </si>
  <si>
    <t>Avance ponderado para el tercer trimestre</t>
  </si>
  <si>
    <t>Se llevó a cabo un avance en la determinación de proyectos a los cuales se les hará formulación de lecciones aprendidas, centrándose principalmente en rediseño de proceso internos de acuerdo con las necesidades institucionales y de manera articulada con la planeación institucional. Asimismo, se trabajó en la consolidación del documento de manera articulada con la Secretaría General de la entidad con el fin de adelantar las revisiones y complementos del caso.</t>
  </si>
  <si>
    <r>
      <t>Lecciones aprendidas consolidadas</t>
    </r>
    <r>
      <rPr>
        <sz val="10"/>
        <color rgb="FFFF0000"/>
        <rFont val="Arial"/>
        <family val="2"/>
      </rPr>
      <t xml:space="preserve"> </t>
    </r>
    <r>
      <rPr>
        <sz val="10"/>
        <color theme="1"/>
        <rFont val="Arial"/>
        <family val="2"/>
      </rPr>
      <t>a nivel interno.</t>
    </r>
  </si>
  <si>
    <t>Lecciones aprendidas documentadas / Lecciones aprendidas identificadas para documentar.</t>
  </si>
  <si>
    <t>Porcentaje de avance en la ejecución del proyecto que incluya participación ciudadana / meta anual de proyectos audiovisuales que incluyen la participación activa de la ciudadanía</t>
  </si>
  <si>
    <t>Garantizar la realización de las actividades propuestas de posicionamiento de la comunicación pública y Capital como socio idóneo.</t>
  </si>
  <si>
    <t>Porcentaje de avance en la elaboración del documento de estándares / Porcentaje programado de documentación del estándar de relacionamiento.</t>
  </si>
  <si>
    <t>Total Recaudo / Total servicios cobrados al cierre del trimestre acumulado * 100</t>
  </si>
  <si>
    <r>
      <rPr>
        <sz val="10"/>
        <rFont val="Calibri"/>
        <family val="2"/>
      </rPr>
      <t>≤</t>
    </r>
    <r>
      <rPr>
        <sz val="9"/>
        <rFont val="Arial"/>
        <family val="2"/>
      </rPr>
      <t>4</t>
    </r>
  </si>
  <si>
    <t>05 - Fortalecer la capacidad organizacional de Capital para ser una empresa transparente, eficiente y sostenible.</t>
  </si>
  <si>
    <t>Asesora de planeación.</t>
  </si>
  <si>
    <t>Profesional de apoyo de Planeación.</t>
  </si>
  <si>
    <t>Subdirectora Administrativa</t>
  </si>
  <si>
    <t>Profesional de Recursos Humanos</t>
  </si>
  <si>
    <t>El Plan Anual de Adquisiciones - PAA es la herramienta de planeación institucional a través de la cual se identifican y proyectan las necesidades de productos y servicios requeridos para la correcta operación de la entidad a lo largo de la vigencia y facilita su seguimiento a lo largo del año en términos de verificar el nivel de cumplimiento en la ejecución del presupuesto asignado. 
Con este indicador se pretende establecer el nivel de cumplimiento del PAA respecto a la programación que establece cada área, en su construcción y modificaciones.</t>
  </si>
  <si>
    <t>Profesional de Planeación.</t>
  </si>
  <si>
    <t>01 - Consolidar una oferta de contenidos de interés ciudadano en diferentes formatos y plataformas que promuevan la participación de la ciudadanía.</t>
  </si>
  <si>
    <t>02 - Implementar prácticas de innovación en diseño, gestión, producción y circulación de contenidos para el posicionamiento del Sistema de Comunicación Pública en la Bogotá Región y la generación de múltiples audiencias ciudadanas.</t>
  </si>
  <si>
    <t>Coordinador de Prensa y Comunicaciones.</t>
  </si>
  <si>
    <t>Contratista Prensa y Comunicaciones.</t>
  </si>
  <si>
    <t>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
La expresión diseñado: hará referencia al diseño del plan anual de adquisiciones y la inclusión allí de los valores (presupuesto) a comprometer durante la vigencia asociadas a los llamados públicos de cocreación con sector audiovisual local
La expresión apropiado: hará referencia a la etapa precontractual realizada para efectuar los llamados públicos de cocreación con sector audiovisual local
La expresión comprometido: hará  referencia a los contratos suscritos con el sector audiovisual local</t>
  </si>
  <si>
    <t>25% a 40%</t>
  </si>
  <si>
    <t>Se realizará la medición teniendo en cuenta intervalos de cumplimiento del 25% al 40% del presupuesto total asignado a la Dirección Operativa, será asignado a los llamados públicos.</t>
  </si>
  <si>
    <t>Director Operativo.</t>
  </si>
  <si>
    <t>Coordinadora de producción - Líder de contenidos de ciudadanía, cultura y educación</t>
  </si>
  <si>
    <t>Coordinador de Programación.</t>
  </si>
  <si>
    <t>Porcentaje de avance del proceso para el diseño, producción y circulación de un proyecto audiovisual que incluya la participación activa de la ciudadanía en alguna o varias etapas de dichos procesos.</t>
  </si>
  <si>
    <t>Garantizar el desarrollo de un proyecto audiovisual que incluya la participación activa de la ciudadanía. Este indicador  tendra un avance conforme las siguientes etapas:
La expresión diseñado: hará referencia a la estructuración de la propuesta técnica que podria tener el proyecto audiovisual de cocreación.
La expresión producción: hará referencia a la contratación de los elementos que se requieran para la producción del proyecto audiovisual de cocreación.
La expresión circulación: hará referencia a la puesta en pantalla del contenido audiovisual de cocreación, puede incluir el preestreno de al menos un capítulo en el caso de proyectos series</t>
  </si>
  <si>
    <t>04 - Consolidar a Capital como una empresa que desarrolla nuevas estrategias de negocios de comunicación pública.</t>
  </si>
  <si>
    <t>Líder de Proyectos estratégicos</t>
  </si>
  <si>
    <t>03 - Generar una cultura digital y de gestión del conocimiento para la optimización de los procesos internos y externos.</t>
  </si>
  <si>
    <t>Porcentaje de avance en la intervención de las plataformas / Porcentaje programado para 2021 de actividades de rediseño en las plataformas a intervenir (página web y canal de youtube)</t>
  </si>
  <si>
    <t>1. Definir plan de trabajo interno para el rediseño de la página web y el correspondiente a la fortalecimiento del canal de YouTube
2. Ejecutar plan de trabajo de intervención de las plataformas a optimizar
3. Realizar pruebas de QA previo a la salida producción</t>
  </si>
  <si>
    <t>Cumplimiento del porcentaje de avance del proceso definido para la vigencia (suma de las actividades de gestión).</t>
  </si>
  <si>
    <t>Coordinadora de producción - Líder del equipo digital</t>
  </si>
  <si>
    <t>Subdirección administrativa</t>
  </si>
  <si>
    <t>Porcentaje de avance en la estructuración del estudio de mercado y adquisición / Estudio de mercado y adquisición programados para ejecución</t>
  </si>
  <si>
    <t xml:space="preserve">Técnico de Servicio Administrativos </t>
  </si>
  <si>
    <t>Profesional de Sistemas</t>
  </si>
  <si>
    <t>Medición de la continuidad del servicio.</t>
  </si>
  <si>
    <t>Coordinadora área Técnica</t>
  </si>
  <si>
    <t>Profesional de apoyo de Planeación (referente ambiental)</t>
  </si>
  <si>
    <r>
      <rPr>
        <sz val="10"/>
        <rFont val="Arial"/>
        <family val="2"/>
      </rPr>
      <t>1. Generar resultados con superávit.</t>
    </r>
    <r>
      <rPr>
        <sz val="10"/>
        <color theme="1"/>
        <rFont val="Arial"/>
        <family val="2"/>
      </rPr>
      <t xml:space="preserve">
2.  Eficiencia y oportunidad en el pago de cuentas.
3. Eficiencia y oportunidad en la presentación de información contable
4. Cumplimiento de los tiempos establecidos para la facturación</t>
    </r>
  </si>
  <si>
    <t>Subdirector Financiero</t>
  </si>
  <si>
    <t>Profesional de Presupuesto</t>
  </si>
  <si>
    <t>Profesional de Tesorería</t>
  </si>
  <si>
    <t>Profesional de Contabilidad</t>
  </si>
  <si>
    <t>Gestión de la cartera.</t>
  </si>
  <si>
    <t>5. Elaborar informe de cartera.</t>
  </si>
  <si>
    <t>Profesional de Facturación</t>
  </si>
  <si>
    <t>Secretaria General</t>
  </si>
  <si>
    <t>Asesor(es) jurídico(s)</t>
  </si>
  <si>
    <t>Profesional de Jurídica</t>
  </si>
  <si>
    <t>Auxiliar de Atención al Ciudadano</t>
  </si>
  <si>
    <t>Jefe Oficina de Control Interno</t>
  </si>
  <si>
    <t xml:space="preserve">Contratista Profesional Oficina de Control Interno </t>
  </si>
  <si>
    <t>04 - (07 de diciembre)</t>
  </si>
  <si>
    <t xml:space="preserve">05 - Fortalecer la capacidad organizacional de Capital para ser una empresa transparente, eficiente y sostenible. </t>
  </si>
  <si>
    <t>Reporte 4</t>
  </si>
  <si>
    <t>Durante el cuarto trimestre del año en curso los logros fueron los siguientes: 57 impactos en medios de comunicación a nivel nacional, en prensa escrita, radio e internet. De acuerdo a un rastreo artesanal pues no se cuenta con el servicio de Monitoreo de medios, que permita conocer el alcance real de la gestión.</t>
  </si>
  <si>
    <t>Los datos reportados hacen parte del informe entregado trimestralmente a la Comisión de Regulación de Comunicaciones (CRC). La información permite concluir que en el cuarto trimestre de 2021 se realizó un aporte del 23,16 % de contenido infantil y adolescente respecto a la parrilla de programación del periodo, que se mide entre 6:00 a.m. y 12:00 p.m.
Las cifras alcanzadas se encuentran dentro del rango de meta propuesta. Además, son muy similares al trimestre anterior, porque se mantuvo la estrategia del lanzamiento del canal eureka, que se emite en TDT y el cableoperador ETB, en cuanto a intensidad horaria de los contenidos infantiles y juveniles.
Se concluye que los resultados planeados para la vigencia fueron alcanzados, dado que se cumplió con el rango porcentual definido en torno al aporte de los contenidos infantiles y adolescentes dentro de la parrilla de programación de la pantalla principal.
Nota: En el primer trimestre de 2021 el resultado fue el 17 % en virtud de que en esa primera medición el rango que se había establecido era inferior al que se propuso a partir del segundo trimestre del año.</t>
  </si>
  <si>
    <t>Durante el cuarto trimestre no se presento indisponibilidad en la señal de Capital, teniendo para el trimestre reportado la continuidad en la prestación del servicio del 100%.
Para la vigencia del 2021 la disponibilidad de la señal presento algunas fallas de streaming en los meses de febrero, marzo, abril, fallas en la señal de Eureka y Capital en el mes de agosto y septiembre, estas se debieron a inconvenientes con el servicio de internet del canal, teniendo como promedio para la vigencia del 2021 en la continuidad de la prestación del servicio del 99.77%.</t>
  </si>
  <si>
    <t>Para el cuarto trimestre se suscribieron 21 contratos de los cuales 21 cuentan con un Fee mínimo del 8,5% del valor total de contrato. En total, en el marco de la estrategia de comunicación pública y proyectos estratégicos definidos para la vigencia 2021 se realizaron 62 contrataciones las cuales en un 97 % arrojaron un el Fee del 8,5 %. El 3 % restante corresponde a 3 contratos del segundo semestre del año que no obtuvieron el Fee en mención.
Notas aclaratorias:
1. Los contratos suscritos por los equipos de producción no se encuentran asociados a la estrategia de comunicación pública y negocios estratégicos, por lo anterior no serán tenidos en cuenta en este reporte por cuanto el alcance definido del indicador está acotado a la estrategia en mención.
2. El contrato 460001852 establecido con la ETB, de acuerdo con la modalidad de contratación - "tipo bolsa", se ejecuta a lo largo de la vigencia, por esta razón será tenido en cuenta en los trimestres en donde se realicen actividades para su ejecución. Para efectos del reporte esta empresa será incluida como un (1) contrato a lo largo del trimestre así cuente con varias órdenes de servicios.</t>
  </si>
  <si>
    <t>Se ejecutaron las 21 actividades de capacitación programadas en el plan, adicionalmente se hicieron 14 jornadas adicionales de las cuales correspondieron a 6 capacitaciones internas y 8 capacitaciones no programadas con entidades distritales.</t>
  </si>
  <si>
    <t>Para el ultimo trimestre del año 2021 se realizo la solicitud de contratación de unidades de conservación (cajas y carpetas) con la empresa LEGARCHIVOS SAS, y se realizaron las entrevistas con los grupos internos de trabajo con el fin de revisar y aprobar las propuestas de Tabla de Retención Documental de Canal Capital.</t>
  </si>
  <si>
    <t>De acuerdo a lo indicado por el área de Control Interno en la auditoría del proceso realizada a Servicios Administrativos, está actividad es un proyecto puntual y no mide la gestión continua del área, por lo que, se deberá tener en cuenta para ajustar el Plan de Acción Institucional en la siguiente vigencia.</t>
  </si>
  <si>
    <t>Se realiza intervención a la fachada del inmueble, el cual incluye impermeabilización, resane y pintura especial para exterior. Adicionalmente se realiza cambio del tejado en el patio trasero de la casa, el cual no se encontraba dentro de lo planeado en la vigencia 2021.</t>
  </si>
  <si>
    <t>Para el periodo reportado, se realizaron las siguientes actividades acorde al plan de seguridad y privacidad de la información 2021:
* Se implementaron reglas y políticas en el sistema de seguridad perimetral: FIREWALL de la entidad, con el fin de mitigar riesgos de seguridad y privacidad de la información en los servicios tecnológicos. 
* Se gestionaron incidentes de seguridad de la información; 1. incidente de seguridad de la información sobre las unidades compartidas del servicio en la nube (Drive) 2. Evento de seguridad página web e intranet Canal Capital.
* Se actualizó el documento AGRI-SI-MN-006 MANUAL DE POLÍTICAS COMPLEMENTARIAS DE SEGURIDAD Y PRIVACIDAD DE LA INFORMACIÓN V2 de acuerdo  a la implementación de la ISO 27002.
* Se realizó  el proceso de la auditoría en seguridad de la información realizada al área de sistemas por parte del proveedor Kreston.</t>
  </si>
  <si>
    <t>Se realizaron las 24 actividades estipuladas en el cronograma de plan de bienestar y adicionalmente se incluyeron otras 3 actividades relacionadas con el centro de apoyo emocional del distrito.</t>
  </si>
  <si>
    <t>De las actividades del cronograma se han realizado las del cuarto trimestre. Las cuales se suben en el drive. (divulgación del manual de convivencia y código de integridad en el boletín interno y comunicado de actividades, participación en los retos de senda de integridad, desarrollo de encuesta de percepción del código de integridad y consolidado de resultados).</t>
  </si>
  <si>
    <t>Al cierre de la vigencia fiscal 2021, los ingresos propios resultaron ser suficientes frente a los compromisos suscritos que se deben cubrir con dichos ingreso; No obstante, el recaudo de venta de servicios fue inferior a la apropiación, por lo cual para la vigencia 2022 se sugiere establecer estrategias que permitan generar un mayor nivel de venta de servicios y lograr un recaudo cercano a la apropiación.</t>
  </si>
  <si>
    <t xml:space="preserve">En el cuarto trimestre se generó un cumplimiento promedio del 52%, sin embargo, es importante mencionar que para el mes de diciembre el porcentaje de cumplimiento fue del 74,83% dando prioridad a los pagos de personas naturales y cumpliendo con las fechas estipuladas en los contratos con las personas jurídicas. </t>
  </si>
  <si>
    <t>• Para el cierre preliminar del periodo de diciembre se presentó un déficit preliminar de $1.969 millones de pesos m/cte. 
• Al corte preliminar del mes de diciembre de 2021 Canal Capital tiene un resultado como déficit acumulado de $43.308 millones, que equivale al 70% de los aportes sociales del Canal.
• De acuerdo con los indicadores financieros se observa que Canal Capital cuenta con un buen flujo de caja para atender las obligaciones del corto plazo.</t>
  </si>
  <si>
    <t>* Se realizó desarrollo, actualización, implementación y ajustes al módulo de financiera totalmente integrado en el ERP del canal.
* Se realizó la actualización de los módulos de documentación, radicación, pasantes y soporte, en una sola base de datos.
* Se realizaron ajustes y adiciones de seguridad a todos los módulos los cuales permiten minimizar el riesgo de ataques a nuestro software y bases de datos.
* Se desarrolló el módulo de simulador de asignación temporales salarial para el área de recursos humanos, el cual permite simular según los honorarios actuales, el nuevo valor asignado con la temporal. Se colocaron perfiles y se integró dentro del ERP y ERPC.
* Se desarrolló el módulo de preguntas y respuestas para el proceso de asignación salarial, como medio de comunicación entre el contratista y canal capital.
* Se desarrolló el módulo de preguntas y respuestas para el proceso de solicitudes de derechos de autor, el cuál se llevaba en Excel de forma manual y ahora permite llevar el mismo registro digital, pero controlado por perfiles de acceso y control de la información.
* Durante los meses del reporte se realizaron 8 reuniones con las áreas funcionales para el seguimiento de las funcionalidades desarrolladas.</t>
  </si>
  <si>
    <t>En el periodo reportado se ha avanzado en el mejoramiento continuo del software. Como se reportó en el trimestre pasado, la necesidad planteada al momento de construir el plan de acción se ha logrado ya el 100% del cometido planteado. La evidencia se traslada al software mismo, el cual se encuentra en la intranet del canal para su verificación.</t>
  </si>
  <si>
    <t>Se está realizando la revisión y actualización del manual de supervisión e interventoría por parte del equipo de Secretaría General.</t>
  </si>
  <si>
    <t>Para la actividad 2 se registró el proceso disciplinario CID-001-2021, sin embargo está pendiente el registro del proceso CID-002-2021 atendiendo a que se requiere la creación de un trabajador oficial en el sistema, para poder vincularlo como implicado al momento del registro, para lo cual se envió solicitud mediante correo electrónico del 7 de diciembre y reiteraciones del 16, 22 y 27 de diciembre, pero no se obtuvo respuesta alguna. 
Para la actividad 5 se encuentra en trámite la actualización del procedimiento disciplinario de conformidad con las novedades introducidas por las leyes 1952 de 2019, modificada por la Ley 2094 de 2021.
En tal sentido, el análisis de resultados de la descripción de las actividades corresponde al 80% de avance.</t>
  </si>
  <si>
    <t>El 24 de agosto y el 10 de septiembre se llevaron a cabo capacitaciones de "Socialización Política de prevención de daño antijurídico" a supervisores y al equipo jurídico, con el fin de explicar cuáles son las causas más recurrentes que impactan al canal en materia litigiosa.
El 1° de octubre se llevó a cabo la capacitación "Estudios previos y supervisión de contratos" a colaboradores del canal en general, con el fin de establecer directrices respecto de la elaboración de la justificación, enfoques específicos a proyectos o actividades y obligaciones.
Aun cuando la periodicidad del reporte es semestral se informa seguimiento de avance a la fecha.
En tal sentido, el análisis de resultados de la descripción de las actividades corresponde al 100% de avance.</t>
  </si>
  <si>
    <t>Se diligenció el Plan de Acción de la Política Institucional de Servicio al Ciudadano (autoevaluación) con las áreas competentes, se formuló en el mes de noviembre el Plan de Mejoramiento que se llevará a cabo durante el año 2022.</t>
  </si>
  <si>
    <r>
      <rPr>
        <b/>
        <sz val="10"/>
        <color theme="1"/>
        <rFont val="Arial"/>
        <family val="2"/>
      </rPr>
      <t xml:space="preserve">Gerencia </t>
    </r>
    <r>
      <rPr>
        <sz val="10"/>
        <color theme="1"/>
        <rFont val="Arial"/>
        <family val="2"/>
      </rPr>
      <t xml:space="preserve">
(Planeación, Prensa y Comunicaciones, proyectos estratégicos)</t>
    </r>
  </si>
  <si>
    <r>
      <rPr>
        <b/>
        <sz val="10"/>
        <color theme="1"/>
        <rFont val="Arial"/>
        <family val="2"/>
      </rPr>
      <t xml:space="preserve">Dirección Operativa </t>
    </r>
    <r>
      <rPr>
        <sz val="10"/>
        <color theme="1"/>
        <rFont val="Arial"/>
        <family val="2"/>
      </rPr>
      <t xml:space="preserve">
(Coordinación de Producción, Contenidos ciudadanos,  Digital, Coordinación de Programación y Coordinación Técnica)</t>
    </r>
  </si>
  <si>
    <t>Seguimiento al plan de acción institucional
Corte a 31 de diciembre de 2021.</t>
  </si>
  <si>
    <t>REPORTE</t>
  </si>
  <si>
    <t>Se realizó el análisis de información del proyecto MegaI con Enfoque Naranja y se documentó en el formato dispuesto la lección aprendida frente al proyecto de manera relacionada con temas de innovación y emprendimiento corporativo.</t>
  </si>
  <si>
    <t>Se realizó la documentación completa de la lección aprendida obtenida a partir de la implementación y cierre del proyecto MegaI con Enfoque Naranja, donde se obtuvieron bases importantes para el desarrollo de estrategias institucionales encaminadas a la innovación pública y la gestión del conocimiento.</t>
  </si>
  <si>
    <t>Las lecciones aprendidas programadas para el año se documentaron de acuerdo con lo establecido en el formato y se encuentran disponibles como referente para la consolidación de la herramienta en la próxima vigencia. Los documentos de lecciones aprendidas se encuentran publicados en la intranet institucional, para conocimiento y consulta de los usuarios de la entidad, en la siguiente ubicación: Inicio &gt; MIPG &gt; 6. Gestión del conocimiento y la innovación &gt; Lecciones aprendidas &gt; 2021</t>
  </si>
  <si>
    <t>1. A 31 de octubre, los resultados indican un avance acumulado del 87.76% sobre el 91.03% programado y cumplimiento del 96.41%; para el período de análisis, el avance de ejecución es del 5.64% sobre el 5.98% programado para el mes, lo que significa un nivel de cumplimiento del 94.23%; Para el período se presentan rezagos menores en las actividades relacionadas con la adopción de lineamientos de lenguaje claro, por parte de servicio al ciudadano, así como en la implementación de la Política de Gestión Documental, que presentaron avances inferiores a lo programado en el mes analizado, pero que aún cuentan con programación para avanzar en el resto de la vigencia sin contratiempos.
2. A 30 de Noviembre los resultados indican un avance acumulado del 94.02% sobre el 95.17% programado y cumplimiento del 98.79%; para el período de análisis, el avance de ejecución es del 6.26% sobre el 4.14% programado para el mes. El sobrecumplimiento en el período se debe a que hubo reporte de avance en acciones que presentaban rezago en períodos anteriores y que no contaban con programación para el mes. Esto evidencia las gestiones de las áreas en dar cumplimiento a los compromisos pendientes para llevar a buen término lo definido en el PFI, principalmente en las siguientes acciones: 3.1 - Protocolos para la idoneidad de candidatos en puestos de planta, 5.7 - Guía de lenguaje claro, 7.3 - Normograma y 8.1 - Política de gestión del conocimiento y la innovación.
3. A diciembre 31 los resultados indican para el cierre de la vigencia un avance acumulado del 98.63% sobre el 100% programado; para el período de análisis, el avance de ejecución es del 4.64% sobre el 4.83% programado para el mes. Se observa en general el cumplimiento por parte de todas las áreas en las actividades programadas en el plan de fortalecimiento institucional. El rezago al cierre de la vigencia es mínimo (1.37%), teniendo en cuenta que las actividades que no completaron el 100% de cumplimiento quedaron muy cerca de su finalización; para dichas actividades se evaluará con las áreas responsables su culminación, con el fin de determinar si deben priorizarse y continuar en la formulación 2022.</t>
  </si>
  <si>
    <t xml:space="preserve">Respecto a la acción de reportes se cumplió al 100% con la programación establecida en el cronograma de segunda línea de defensa a cargo de planeación, en este sentido se adelantaron los reportes de ejecución de recursos FUTIC, los informes de gestión ambiental en el marco del PIGA, los reportes de ejecución de los proyectos de inversión bajo las dos metodologías definidas (SEGPLAN y SPI) así como el proceso de actualización de los riesgos institucionales tanto de gestión como de corrupción así como la actualización del Plan Anticorrupción y de Atención al Ciudadano de la entidad.  </t>
  </si>
  <si>
    <t xml:space="preserve">En lo corrido del cuarto trimestre del año se cumplió con el 100% de los compromisos asociados con la presentación de informes de gestión en el marco de la segunda línea de defensa liderada por Planeación. Para el periodo de seguimientos a los proyectos de inversión a través de las diferentes plataformas disponibles (SEGPLAN y SPI), así mismo, se dio continuidad al seguimiento y presentación de informes de la ejecución de recursos suministrado por el FUTIC, se realizaron los seguimientos a la implementación de las diferentes políticas públicas así como al plan de acción institucional, al PIGA, al Plan de Fortalecimiento Institucional y el monitoreo de los riesgos institucionales. </t>
  </si>
  <si>
    <t xml:space="preserve">En el trimestre  se realizaron ajustes al PAA de acuerdo con las modificaciones al plan de inversión del Futic, así como a los demás rubros del área operativa. Por otra parte, se realizaron traslados internos para realizar adquisiciones o contrataciones en rubros con saldo insuficiente en funcionamiento, debido al cumplimiento del pago de las sentencias. En general la contratación se ha llevado a cabo de acuerdo con lo planeado y con los ajustes mencionados quedando de la siguiente forma: Funcionamiento 93,0%, Operación 86,0% e Inversión 73,9%. </t>
  </si>
  <si>
    <t>Para el último trimestre, se ajustó el PAA de acuerdo con la modificación el plan de inversiones del Futic, la cual incluyó ajustes en el cronograma de contratación, también se realizaron ajustes por contratación derivada de contratos interadministrativos y necesidades de contratación que requirieron de traslados internos, los cuales fueron incluidos en el PAA. Se concluye que la ejecución del PAA fue buena llegando a un 95,24% de cumplimiento, distribuida de la siguiente forma: Funcionamiento 95,9%, Operación 97,9% e Inversión 90,8%.</t>
  </si>
  <si>
    <t>Con corte al 30 de septiembre, se avanzó en tres informes mensuales que da cuenta del trabajo realizado por Comunicaciones Estratégicas en cuanto al relacionamiento con entidades públicas y privadas del sector cultural, lo cual da como resultado:                                                                                                                                                                                                                                                                                                                                                           
3 Acercamientos con evento/entidad del sector público. 
7 Acercamientos con evento/entidad del sector privado.                                                                                                                                                                                                                                                                                                                                             8 Acercamientos con evento/entidad del sector audiovisual.      
1 Acercamiento con evento/entidad sin ánimo de lucro.
1 Alianza con evento/entidad del sector universitario.</t>
  </si>
  <si>
    <t xml:space="preserve">Con corte al 31 de diciembre, se avanzó en tres informes mensuales que da cuenta del trabajo realizado por Comunicaciones Estratégicas en cuanto al relacionamiento con entidades públicas y privadas del sector cultural, lo cual da como resultado:                                                                                                                                                                                                                                                                                                                                                           
1 Apoyo en divulgación al sector cultura.
3 Acercamientos con evento/entidad del sector privado.                                                                                                                                                                                                                                                                                                                                             5 Acercamientos con evento/entidad del sector audiovisual.                                                                                             </t>
  </si>
  <si>
    <t>En el tercer trimestre de 2021 se realizó la intervención de los medios de comunicación interna como: la Intranet, Comunicado Interno, Boletín Interno, Bienestar Capital, Agéndate y Chat Capital Comunica.</t>
  </si>
  <si>
    <t>En el cuarto trimestre de 2021 se realizó la intervención de los medios de comunicación interna como: Comunicado Interno, Boletín Interno, Agéndate y Chat Capital Comunica.</t>
  </si>
  <si>
    <t>Han solicitado desde el área de Recursos Humanos incluir los valores de Capital en cada edición del Boletín Interno, acción que se ha realizado en el transcurso del tercer trimestre en los 13 Boletines Internos compartidos, así como información de interés para los colaboradores de Capital.</t>
  </si>
  <si>
    <t>Han solicitado desde el área de Recursos Humanos incluir los valores de Capital en cada edición del Boletín Interno, acción que se ha realizado en el transcurso del cuarto trimestre en los 12 Boletines Internos compartidos, así como información de interés para los colaboradores de Capital</t>
  </si>
  <si>
    <t>Con relación a la Campaña de Bioseguridad se realizaron, con corte al 30 de septiembre, 13 publicaciones en el Boletín Interno y se compartieron en el chat de Capital Comunica un 9 piezas de campañas o información relevante respecto a temas de bioseguridad y vacunación para el Covid-19.</t>
  </si>
  <si>
    <t>Con relación a la Campaña de Bioseguridad se realizaron, con corte al 31 de diciembre, 12 publicaciones en el Boletín Interno y se compartieron en el chat de Capital Comunica un 4 mensajes de campañas o información relevante respecto a temas de bioseguridad y vacunación para el Covid-19.</t>
  </si>
  <si>
    <t>Para el tercer trimestre del año en curso se apoyaron tres campañas: PIGA a través de ocho boletines y dos comunicaciones en el chat de Capital comunica; protocolo interno para manejo de situaciones de acoso sexual y laboral a través de  dos boletines; senda integridad a través de 5 boletines y tres comunicaciones en el Chat Capital comunica; y semana de la bicicleta a través de 3 boletines y dos comunicaciones en el Chat Capital comunica.</t>
  </si>
  <si>
    <t>Para el tercer trimestre del año en curso se apoyaron tres campañas: PIGA a través de dos boletines y dos comunicaciones en el chat de Capital comunica; protocolo interno para manejo de situaciones de acoso sexual y laboral a través de dos boletines; salud mental a través de cinco boletines internos ; y semana de la bicicleta a través de 3 boletines y una comunicación en el Chat Capital comunica.</t>
  </si>
  <si>
    <t>Numerador:
Con corte a 31 de diciembre de 2021 se ha realizado la gestión contractual equivalente a $ 2.916.947.917 representados en las siguientes contrataciones:
*proveedor TAYFERCABEZA valor del contrato: $519.969.429 
*proveedor UT LFP - BLANCO FILMS SA valor del contrato:$ 519.978.488 
*proveedor LA PIRAGNA EPICA - DILETANTE SAS valor del contrato:$ 618.000.000
*proveedor FILMAWA SAS  valor del contrato:$ 520.000.000
*proveedor GUOQUITOQUI SAS valor del contrato: $260.000.000
*proveedor DIECISÉIS 9 FILMS SAS valor del contrato: $260.000.000
*proveedor RAFAEL POVEDA TELEVISIÓN- mesa capital valor del contrato: $219.000.000
*proveedor METRO TELEVISIÓN, INCOMSA Y PRECIOSA MEDIA por adquisición de derechos $178.223.106
El presupuesto asignado a llamados públicos total durante la vigencia 2021 fue de $ 3.095.371.070 según plan de adquisiciones; en el cuarto trimestre de 2021 se realizó la gestión correspondiente a la adjudicación de $ 178.223.106 por adquisición de derechos.
Denominador:
El presupuesto inicial asignado para las producciones de dirección operativa fue de $12.099.965.328, el cual fue ajustado en el tercer trimestre del año $ 8´547.885.514
Resultado: El resultado alcanzado en el cuatro trimestre fue de 36,2% valor que se encuentra en el rango de cumplimiento establecido por la dirección operativa a partir del segundo semestre del año, fecha en la que fue necesario solicitar el ajuste de la meta debido por cambios presupuestales realizados por la alta dirección.
Los resultados alcanzados a lo largo del año y de acuerdo con los rangos definidos, tanto para el primer como para el segundo semestre, no superaron los limites definidos como meta, por lo que se concluye que el indicador tuvo una dinámica normal y de cumplimiento de acuerdo con lo planeado. Al establecer un rango se determinó que el resultado debía estar dentro de los parámetros y no necesariamente alcanzar el tope superior, por cuanto las condiciones contractuales y jurídicas pueden ocasionar variaciones en el proceso de adquisición, así como las condiciones del mercado. Todo lo anterior permite inferior un cumplimiento del indicador para el trimestre de reporte y para la vigencia.</t>
  </si>
  <si>
    <t>Los datos reportados hacen parte del informe entregado trimestralmente a la Comisión de Regulación de Comunicaciones. La información permite concluir que en el tercer trimestre de 2021 se realizó un aporte del 23,13 % de contenido infantil y adolescente respecto al total de la parrilla de programación del periodo, que se mide entre 6:00 a.m. y 12:00 p.m.
Las cifras alcanzadas se encuentran dentro del rango de meta propuesto, si bien la programación infantil tuvo una reducción significativa en este trimestre, habida cuenta de cambios en la parrilla de programación: desde agosto la franja Eureka dejó de emitirse entre semana en las mañanas, y desde mediados del mismo mes comenzó a emitirse en fines de semana.
Estos cambios responden a una gran apuesta de Capital Sistema de Medios Públicos: la creación de eureka, tu canal, frecuencia TDT que tiene programación 24 horas al día, siete días a la semana dedicada a públicos infantil y adolescente. De tal suerte, es probable que propongamos que las metas del presente indicador sean ajustadas.</t>
  </si>
  <si>
    <t xml:space="preserve">En el cuarto trimestre de 2021 el proyecto CUIDADANOS (antes denominado TODOS SOMOS CUIDADANOS) tuvo los siguientes resultados:
1. Inicio del contrato con administración delegada y seguimiento de la ejecución del proyecto
2. Contratación equipo humano en el marco de la administración delegada y seguimiento a los contratistas de la administración delegada y Canal
3. Desarrollo de investigación y guion asociado a "director por un día", videografías cuidadanas y especiales
4. Etapa de producción y postproducción
5. Circulación, la cual de acuerdo al plan de trabajo establecido para la vigencia corresponde al preestreno de los capítulos aprobados.
Nota: La circulación de los contenidos generados en el marco del proyecto continuarán en 2022.
Con base en lo anterior se ha cumplido el 25 % establecido para el cuatro trimestre de 2021 y se ha alcanzado 100 % de cumplimiento </t>
  </si>
  <si>
    <t>Para el tercer trimestre del año 2021 el equipo de proyectos estratégicos y comunicación pública planteó como meta parcial de cumplimiento del indicador un 34,5% según lo planteado en el Plan de posicionamiento y gestión de recursos de Capital y de Eureka, de acuerdo con lo anterior se obtuvieron los siguientes resultados:
1. Para el componente 1: 74% ejecutado, 26% en ejecución y un 0% por iniciar su gestión
2. Para el componente 2: 90% ejecutado, 10% en ejecución y 0% por iniciar su gestión
Por lo anterior se concluye que el indicador ha alcanzado un avance anual del 81.5% de cumplimiento, el cual esta acorde a lo propuesto por el equipo de proyectos estratégicos y comunicación pública para la vigencia y el trimestre de análisis.</t>
  </si>
  <si>
    <t>El equipo de proyectos estratégicos y comunicación pública ha ejecutado el 100% del Plan de posicionamiento y gestión de recursos de Capital y de Eureka establecido para la vigencia 2021. No se presentaron anomalías en su ejecución.
Respecto al resultado del último trimestre se obtuvieron los siguientes resultados:
1. Para el componente 1: el porcentaje de actividades calificadas en la categoría "ejecutado" son del 100 %, por ende las dos categorías restantes, es decir "En ejecución" y "Por iniciar su gestión" corresponden al 0 %
2. Para el componente 2: el porcentaje de actividades calificadas en la categoría "ejecutado" son del 100 %, por ende las dos categorías restantes, es decir "En ejecución" y "Por iniciar su gestión" corresponden al 0 %
En total el aporte del ultimo trimestre al cumplimiento total de la vigencia correspondió a 18%
Nota: Para la medición de cada componente, el equipo de proyectos estratégicos y comunicación pública ha definido tres (3) etapas para la medición del avance de cada componente:
*Ejecutado: corresponde a las acciones que se han realizado al 100% durante el periodo de reporte
*En Ejecución: corresponde a las acciones que se iniciaron en el periodo de reporte y aun se encuentran en curso para su ejecución.
*Por iniciar su gestión: corresponde a las acciones que, de acuerdo con el Plan de Posicionamiento, aun no deben iniciar</t>
  </si>
  <si>
    <t xml:space="preserve">En el tercer trimestre del año, como aporte al cumplimiento de este indicador se avanzó en las siguientes actividades:
1. Se suscribió contrato con la Agencia Aguayo el 6 de julio, lo cual nos permitió avanzar con el cronograma que se había establecido, durante la ejecución se han realizado diferentes reuniones con las cabezas de las áreas para definir, el diseño y concepto de la página, a la fecha la Aguayo ya realizo entrega de los de Wireframes y fueron recibidos a conformidad por él encargado del proyecto. De igual Manera reportamos que con la dirección Operativa se decidió que este año solo se va a realizar la etapa de diseño de la Pagina web, por lo cual adjuntamos el nuevo cronograma.
2. La ejecución del back optimización continúa, se lograron optimizar 389 videos. Esta cifra se vio afectada por el lapso de espera para la contratación y la terminación de las prácticas de los integrantes del equipo de plataformas. Adicionalmente, se generó un documento para llevar un control sobre las playlist que se van optimizando y en qué estado están. </t>
  </si>
  <si>
    <t>En el cuarto trimestre se realizaron las siguientes actividades:
1. Reuniones con los diferentes responsables de los equipos o áreas, según corresponda, para la revisión y aprobación del diseño final de la página (correo electrónico de citación o respuestas de lideres de equipos).
2. Se recibieron los diseños en la plataforma FIGMA correspondientes a la arquitectura de información y diseño según cronograma.
Los resultados listados corresponden al 25 % de ejecución del proyecto cumpliendo con el avance esperado para el último trimestre del año 2021. Así mismo se concluye que el resultado área la vigencia se alcanzo en un 100 % de acuerdo con el cronograma</t>
  </si>
  <si>
    <t>En el tercer trimestre de 2021 se realizó un análisis detallado de caracterización de audiencias para definir de acuerdo a múltiples pilares (informativo, eureka, crónicas, opinión, digital y transmisiones) cómo estaban definidos nuestros públicos de acuerdo a cada plataforma. Este avance representa en un 75 % la ejecución de este indicador, por lo anterior, se considera cumplido el porcentaje establecido para el tercer trimestre.</t>
  </si>
  <si>
    <t>En el cuarto trimestre se realizó la elaboración del documento "MDCC-IN-004 PROTOCOLO DE GESTIÓN DE AUDIENCIAS", se realizó la solicitud de creación a planeación y publicación en la intranet, así mismo se realizó la socialización del documento al interior del equipo digital. Las actividades reportadas corresponden al 25 % de las actividades propuestas para la vigencia, logrando con esto el objetivo.
Lo anterior permite concluir que el indicador se ha cumplido respecto a la meta trimestral y se cumplido el 100% del indicador respecto a la meta anual.</t>
  </si>
  <si>
    <t>Se realizo la clasificación, ordenación y organización  de los expedientes del primer periodo así como el cambio de las unidades de conservación, se realiza el inventario en estado natural de un total de 60 carpetas así como las cotizaciones para la adquisición de unidades de conservación para realizar el proceso de transferencias secundarias, se proyecta para el  ultimo trimestre del año 2021 realizar inventario analítico de transferencias secundarias y así poder programar con el Archivo de Bogotá una posible entrega para el año 2022.</t>
  </si>
  <si>
    <t>Se realiza actualización de los formatos de retiro de servidor público, Manual de gestión documental, instrumento archivístico banco terminológico, Manual de avalúo de bienes y activos fijos, Manual de gestión de usuarios, manual del sistema de seguridad de la información, acta de entrega servicios TIC, Manual de usuario unidades de equipos G-suite, guía de reportes de incidentes de seguridad y se envió para aprobación la actualización del plan de emergencias.</t>
  </si>
  <si>
    <t>Se finaliza con la actividad de impermeabilización de la pared izquierda del inmueble, traslada varias oficinas de la calle 26 al inmueble y se adquiere herrajes para las ventanas.</t>
  </si>
  <si>
    <t>Para el periodo reportado, se realizaron las siguientes actividades acorde a la hoja de ruta programada para la ejecución del PETI 2021:
* Se dio soporte a los requerimientos e incidentes de los servicios de cableado estructurado, redes de área local (LAN), redes de área local inalámbrica (WLAN), redes de área amplia (WAN), granja de servidores, seguridad perimetral (FIREWALL) y dispositivos finales de Canal Capital. 
* Alistamiento, implementación y pruebas de Cuatro (4) dispositivos Access Point (APs), para acceso a red de área local inalámbrica (WLAN) o WIFI, en la sede 2 Chapinero calle 69. 
* Movimiento switch HPE OfficeConnect 1420 (JHO19A) con características POE, para dar corriente eléctrica a los 5 Access point (APs) de la red WLAN o WIFI, sede 1 Avenida el Dorado. 
* Se desplegaron servidores con el protocolo IPv4/IPv6.
* Se desplegaron equipos finales sobe el protocolo IPv4/IPv6 con direccionamiento IP en la VLAN 504 2801:16:6800:200::/64.
* Migración, configuración y parametrización red de área local inalámbrica (WLAN), adopción y configuración de (5) dispositivos Access Point (APs), para acceso a red de área local inalámbrica (WLAN) o WIFI, en la sede 1 avenida el dorado. 
* Soporte a la aplicación ORDPAGO y generación de archivos planos para bancos.
* Puesta en producción del ERP del canal en el sitio de la intranet  http://intranet.canalcapital.gov.co/erp/ 
* Implementación de los módulos de Denuncia, Pasantes Soporte y Configuraciones generales en el ERP, para todos los usuarios teniendo en cuenta los perfiles de acceso para cada módulo.
* Análisis, diseño, desarrollo, implantación e implementación del módulo de financiera con inserción y edición del anteproyecto para el próximo año, en funcionamiento en el sitio http://intranet.canalcapital.gov.co/erpc/ para pruebas y ajustes.</t>
  </si>
  <si>
    <t>Para el periodo reportado, se realizaron las siguientes actividades acorde a la hoja de ruta programada para la ejecución del PETI 2021:
* Se dio soporte a los requerimientos e incidentes de los servicios de cableado estructurado, redes de área local (LAN), redes de área local inalámbrica (WLAN), redes de área amplia (WAN), granja de servidores, seguridad perimetral (FIREWALL) y dispositivos finales de Canal Capital.
* Se estructuró de manera Jerárquica el acceso a equipos de comunicaciones del Canal Capital área Técnica.
* Se configuró el acceso por http/s de equipos activos para su respectivo monitoreo área de técnica
* Se realizó el monitoreo de los equipos activos área técnica este switch corresponde al master de producción.
* Se actualizó el firmware de las controladoras de la WLAN .
* Soporte a la aplicación ORDPAGO y generación de archivos planos para bancos.
* Se realizó desarrollo, actualización, implementación y ajustes al módulo de financiera totalmente integrado en el ERP del canal.
* Se realizó la actualización de los módulos de documentación, radicación, pasantes y soporte, en una sola base de datos.
* Se realizaron ajustes y adiciones de seguridad a todos los módulos los cuales permiten minimizar el riesgo de ataques a nuestro software y bases de datos.
* Se desarrolló el módulo de simulador de asignación temporales salarial para el área de recursos humanos, el cual permite simular según los honorarios actuales, el nuevo valor asignado con la temporal. Se colocaron perfiles y se integró dentro del ERP y ERPC.
* Se desarrolló el módulo de preguntas y respuestas para el proceso de asignación salarial, como medio de comunicación entre el contratista y canal capital.
* Se desarrolló el módulo de preguntas y respuestas para el proceso de solicitudes de derechos de autor, el cuál se llevaba en Excel de forma manual y ahora permite llevar el mismo registro digital, pero controlado por perfiles de acceso y control de la información.
* Durante los meses del reporte se realizaron 8 reuniones con las áreas funcionales para el seguimiento de las funcionalidades desarrolladas.</t>
  </si>
  <si>
    <t>Para el periodo reportado, se realizaron las siguientes actividades acorde al plan de seguridad y privacidad de la información 2021:
*Habilitación de política  en el equipo de seguridad perimetral (firewall), para la conexión o acceso remoto por medio de la aplicación VPN (forticlient) a la sede 2 chapinero. 
* Parametrización y configuración de políticas y reglas firewall Fortinet 401E: Se configuró política o regla  en el equipo de seguridad perimetral (firewall), para publicar la VLAN 1 con el segmento de red 2801:16:6800:100::/64 y VLAN 504 con el segmento de red 2801:16:6800:200::/64.
* Se diseñó el documento: CATÁLOGO DE SERVICIOS DE TECNOLOGÍAS DE LA INFORMACIÓN, el catálogo de servicio de TI, es elaborado para que los usuarios de Capital conozcan los servicios de TI que actualmente se encuentran implementados y operativos bajo la administración del área de sistemas, así mismo, en el marco de la implementación de la Política de Gobierno Digital: Catálogo de servicios de TI - LI.ES.11 y a las mejores prácticas de la industria de Tecnología de Información (ITIL®).
* Se implementaron medidas preventivas en la infraestructura tecnológica de la entidad, de acuerdo al boletín de seguridad infraestructura critica emitido por el ColCert.</t>
  </si>
  <si>
    <t>Para el periodo reportado, se realizaron las siguientes actividades acorde al plan de tratamiento de riesgos de seguridad y privacidad de la información 2021:
* Se han realizado depuración y seguimiento a las políticas y reglas implementadas en el sistema de firewall Fortinet 401E de la entidad.
* Se elaboró la “Matriz de riesgos seguridad digital 2021 V1”, esta se elaboró de acuerdo a la guía de gestión de riesgos del MinTIC y Guía para la administración del riesgo y el diseño de controles en entidades públicas, esta se encuentra en proceso de revisión por parte de la oficina de planeación.
*Se enviaron correos al área de comunicaciones con recomendaciones para evitar el Phishing, Malware y Spam en la información de los usuarios de la entidad, de acuerdo al boletín de seguridad emitido por el Csirt Ponal</t>
  </si>
  <si>
    <t>Para el periodo reportado, se realizaron las siguientes actividades acorde al plan de tratamiento de riesgos de seguridad y privacidad de la información 2021:
* Se realizó el proceso de actualización de la EPLE-PO-001 POLÍTICA DE ADMINISTRACIÓN DE RIESGOS, en lo concerniente a los riesgos de seguridad digital.
* Se finalizó la formulación de la matriz de gestión de riesgos de seguridad digital, de acuerdo a los lineamientos impartidos por la Función Pública y el Ministerio de las TIC. Esta se encuentra en proceso de unificación con la matriz de riesgos de gestión de la entidad.
* Se gestionaron solicitudes de recomendaciones y medidas preventivas para el uso responsable de los recursos tecnológicos y la información de la entidad.</t>
  </si>
  <si>
    <t>Durante el tercer trimestre se presento indisponibilidad en la señal de Capital, Eureka, Streaming y video en el por fallas en el servicio de internet en el Canal los días 13, 19, 22,  27 de agosto y los días 19 y 25 de septiembre, el promedio para el trimestre en la continuidad en la prestación del servicio es del 99,96%.</t>
  </si>
  <si>
    <t>De los cuatro ítems del plan, el punto 1 esta en el 90% que es contrato de pruebas para el proceso de selección. Del punto 2  se actualizó la matriz de peligros y valoración de riesgos esta al 99%.Del punto 3 ya se contrato el profesional y se va iniciar el programa un avance del 20%. Del 4 ítem. Se realizó la actualización del manual de inducción para contratistas y se envía el kit de bienvenida. Al igual se realiza inducción para los nuevos servidores de planta al 90%.</t>
  </si>
  <si>
    <t>De los cuatro ítems del plan, el punto 1 esta en el 100% que es contrato de pruebas para el proceso de selección. y el uso del mismo para la contratación de nuevos funcionarios en la entidad Del punto 2  se actualizó la matriz de peligros y valoración de riesgos esta al 99%.Del punto 3 ya se contrato el profesional y se inició el programa un avance del 70%. Del 4 ítem. Se realizó la actualización del manual de inducción para contratistas y se envía el kit de bienvenida. Al igual se realiza inducción para los nuevos servidores de planta al 90%.</t>
  </si>
  <si>
    <t>De acuerdo con el plan de trabajo anual del sistema de gestión de seguridad y salud en el trabajo se adelantaron las siguientes actividades (reuniones mensuales del COPASST, reunión trimestral del CCL, actividades de prevención de contagio COVID 19, pausas activas, capacitaciones en seguridad vial, riesgo psicosocial, y manejo de emergencias), se ejecutó la jornada de exámenes médicos ocupacionales periódicos para el personal de planta. El cumplimiento del plan se ha adaptado en concordancia con las diferentes modalidades de trabajo que desarrollan los diferentes equipos de trabajo de la entidad.
A la fecha no se reportan accidentes de trabajo para la vigencia 2021.</t>
  </si>
  <si>
    <t>De acuerdo con el plan de trabajo anual del sistema de gestión de seguridad y salud en el trabajo se adelantaron las siguientes actividades (reuniones mensuales del COPASST, reunión trimestral del CCL, actividades de prevención de contagio COVID 19, pausas activas,  riesgo psicosocial, y manejo de emergencias), se participó del simulacro distrital de emergencias
El cumplimiento del plan se ha adaptado en concordancia con las diferentes modalidades de trabajo que desarrollan los diferentes equipos de trabajo de la entidad.
No se reportan accidentes de trabajo para la vigencia 2021.</t>
  </si>
  <si>
    <t>De las actividades del cronograma se han realizado las del primer trimestre. Las cuales se suben en el drive.</t>
  </si>
  <si>
    <t>De las actividades del cronograma se han realizado las del tercer trimestre. Las cuales se suben en el drive.</t>
  </si>
  <si>
    <t>Durante este periodo se avanzó en actividades de gestión en el marco del plan de acción PIGA tales como capacitaciones en materia de gestión de residuos y gestión de residuos peligrosos, se conformó el equipo de movilidad sostenible y se llevó a cabo la primera reunión del mismo, también se avanzó en la contratación de los diferentes bienes y servicios necesarios para la gestión ambiental de la entidad, por otro lado, se dio continuidad a las mesas de trabajo con el equipo de consumo sostenible y se llevó a cabo una capacitación sobre producción y consumo sostenible con el apoyo de la Secretaría Distrital de Ambiental, por último se adelantaron las inspecciones a las instalaciones de la entidad y se emitieron los diferentes informes con el estado de los sistemas de iluminación, puntos de agua y residuos sólidos.  Se presenta un rezago del 2% asociado con los informes de consumo de recursos que se presentarán en el cuarto trimestre del año</t>
  </si>
  <si>
    <t xml:space="preserve">Para el cuatro trimestre del año se presentó un avance del 85% dando como resultado acumulado un avance del 91% para la vigencia 2021, en el periodo se avanzó en temas de inspecciones a las instalaciones físicas de la entidad identificando el estado de los sistemas se abastecimiento de agua y energía, y se adelantaron las diferentes capacitaciones y actividades de gestión orientadas a fortalecer la gestión de residuos peligrosos y no peligrosos y se conformó y gestionó la primera reunión del equipo de movilidad sostenible de la entidad, finalmente se ejecutó el contrato 641 de 2021 por medio del cual se logró el reemplazo de sistemas de iluminación LED de la sede de la calle 69. 
Por otro lado, se presentaron retrasos en las contrataciones relacionadas directamente con la compra de puntos ecológicos, kit de derrames y entrega de gestión de residuos peligrosos, en este sentido para las dos primeras adquisiciones se llevó el proceso de contratación hasta la última fase pero no fue posible hacer la compra toda vez que se presentaron inconvenientes asociados con la figura de ordenadora del gasto de la entidad frente a la tienda virtual del estado colombiano, frente a la última adquisición se suscribió el contrato 648 de 2021 por medio del cual se aseguró la gestión de residuos peligrosos, sin embargo para el año 2021 dicha entrega se relacionó con la entrega de residuos peligrosos por parte de la coordinación técnica en el marco de los contratos de mantenimiento de vehículos y plantas eléctricas. </t>
  </si>
  <si>
    <t xml:space="preserve">En el tercer trimestre se genero un cumplimiento promedio del 55%, en comparación con los trimestres anteriores este presenta una disminución debido a las medidas tomadas para darle manejo al flujo de caja de la entidad, se dio prioridad a los pagos de las personas naturales, sin dejar de lado el pago a las personas jurídicas pero teniendo en cuenta las fechas de vencimientos relacionadas en las facturas y/o en los contratos que por lo generar son superiores al del indicador establecido. En ningún caso se ha superado el plazo establecido en los pagos realizados. </t>
  </si>
  <si>
    <t>Para el cuarto trimestre de 2021, evidenciamos un ingreso suficiente para cubrir los pagos o desembolsos programados para el cierre de vigencia. Quedando así para el cierre una disponibilidad de $6,923 millones de pesos versus unas cuentas por pagar a dic.31-21 por valor de $ 6,025.</t>
  </si>
  <si>
    <t xml:space="preserve">En el segundo trimestre se presentó un déficit acumulado a corte de 30 de junio por valor de -$6.079.546.951 esto debido a que los Ingresos no superaron los Costos y Gastos en lo que incurrió el Canal para su normal funcionamiento, es de aclarar que del total de los ingresos acumulados al corte de 30 de junio el porcentaje que representa las Subvenciones recibidas corresponden al 72% del Ingreso total preliminar. Por lo anterior, el indicador no se ha cumplido según lo estipulado en el PAI. </t>
  </si>
  <si>
    <t>Durante el tercer trimestre se presentó un déficit acumulado a corte preliminar del mes de septiembre de 2021 por valor de $4.634.649.163 millones, que equivale al 70% de los aportes sociales del Canal. Este déficit se ha venido presentado a causa del incremento en mayor proporción de los costos y gastos acumulados los cuales ascienden a $24.190.653.692 en comparación con los ingresos acumulados equivalentes a $19.556.004.528; sin embargo, de acuerdo con los indicadores financieros se observa que Canal Capital cuenta con un buen flujo de caja para atender las obligaciones del corto plazo. Se recomienda estudiar estrategias que favorezca la generación u obtención de ingresos, así como racionalizar los costos y gastos, esto con el fin de buscar un punto de equilibrio al finalizar la vigencia y no cerrar el año con déficit muy alto.</t>
  </si>
  <si>
    <t>A 30 de septiembre de 2021 se obtuvo una gestión de cobro 86,25% del total de servicios facturados por venta de servicios al cierre del trimestre y realizando la comparación con el total del recaudo de dichos servicios facturados en el tercer trimestre de 2021  (cabe indicar que este recaudo es bruto, es decir se incluyen los descuentos que realizaron los clientes), quedado una cartera por recolectar de 199.482.205 de los servicios facturados en el ultimo trimestre</t>
  </si>
  <si>
    <t>A 31 de diciembre de 2021 se obtuvo una gestión de cobro 81,16% del total de servicios facturados por venta de servicios al cierre del trimestre y realizando la comparación con el total del recaudo de dichos servicios facturados en el cuanto trimestre de 2021  (cabe indicar que este recaudo es bruto, es decir se incluyen los descuentos que realizaron los clientes), quedado una cartera por recolectar de 670.811.685 de los servicios facturados en el ultimo trimestre</t>
  </si>
  <si>
    <t xml:space="preserve">Durante el cuarto trimestre fueron emitidas dos piezas comunicativas así:
El día 10 de diciembre se emitió la circular 10 sobre Gestión de Solicitudes de CDP.
El día 30 de diciembre Se emitió el informe de Ordenes de pago tramitadas y pagadas en la vigencia 2021. </t>
  </si>
  <si>
    <t>En el periodo reportado se logró consolidar el software de gestión documental, conforme los lineamientos y requerimientos inicialmente planteados para su creación. Aun cuando la herramienta es susceptible de mejora continua como en efecto está siendo desarrollada, con base en la necesidad planteada al momento de construir el plan de acción de ha logrado ya el 100% del cometido planteado. La evidencia se traslada al software mismo, el cual se encuentra en la intranet del canal para su verificación.</t>
  </si>
  <si>
    <t>* Alistamiento, implementación y pruebas de Cuatro (4) dispositivos Access Point (APs), para acceso a red de área local inalámbrica (WLAN) o WIFI, en la sede 2 Chapinero calle 69. 
* Movimiento switch HPE OfficeConnect 1420 (JHO19A) con características POE, para dar corriente eléctrica a los 5 Access point (APs) de la red WLAN o WIFI, sede 1 Avenida el Dorado. 
* Se desplegaron servidores con el protocolo IPv4/IPv6.
* Se desplegaron equipos finales sobe el protocolo IPv4/IPv6 con direccionamiento IP en la VLAN 504 2801:16:6800:200::/64.
* Migración, configuración y parametrización red de área local inalámbrica (WLAN), adopción y configuración de (5) dispositivos Access Point (APs), para acceso a red de área local inalámbrica (WLAN) o WIFI, en la sede 1 avenida el dorado. 
* Soporte a la aplicación ORDPAGO y generación de archivos planos para bancos.
* Puesta en producción del ERP del canal en el sitio de la intranet  http://intranet.canalcapital.gov.co/erp/ 
* Implementación de los módulos de Denuncia, Pasantes Soporte y Configuraciones generales en el ERP, para todos los usuarios teniendo en cuenta los perfiles de acceso para cada módulo.
* Análisis, diseño, desarrollo, implantación e implementación del módulo de financiera con inserción y edición del anteproyecto para el próximo año, en funcionamiento en el sitio http://intranet.canalcapital.gov.co/erpc/ para pruebas y ajustes.</t>
  </si>
  <si>
    <t>1. El pasado 13 de agosto se llevó a cabo capacitación por parte de la Secretaría Jurídica Distrital respecto del manejo del Sistema Distrital de Asuntos Disciplinarios SID.
2. De otra parte se realizó la creación de usuarios sin embargo, hubo varios inconvenientes para el ingreso a la herramienta de Sistema Distrital de Asuntos Disciplinarios SID, por lo que en varias ocasiones se envió solicitud a la  Dirección Distrital de Asuntos Disciplinarios para que realizaran el restablecimiento respectivo. 
Posterior a lo anterior, se procedió a la creación y registro de procesos en el Sistema de Información de Procesos Disciplinarios - SID, sin embargo no fue posible, atendiendo a que se requería la creación de un trabajador oficial en el sistema, para poder vincularlo como implicado al momento del registro, para lo cual se envió solicitud mediante correo electrónico el 16 de septiembre y reiteración del 24 de septiembre, pero no se obtuvo respuesta en el mes. 
Para las actividades 3 y 4 no hay avance teniendo en cuenta lo mencionado anteriormente. 
5. Se encuentra en trámite la actualización del procedimiento disciplinario de conformidad con las novedades introducidas por las leyes 1952 de 2019, modificada por la Ley 2094 de 2021.
En tal sentido, el análisis de resultados de la descripción de las actividades corresponde al 50% de avance.</t>
  </si>
  <si>
    <t xml:space="preserve">El resultado del tercer trimestre obedeció  a la atención de requerimientos presentados por la Contraloría de Bogotá en el marco de la visita de regularidad PAD 2021 - vigencia evaluada 2020. Se mantendrán los seguimientos semanales de actividades de la Oficina de Control Interno para tener el control de la gestión realizada y el cumplimiento de las fechas programadas. </t>
  </si>
  <si>
    <t>El resultado obtenido en el cuarto trimestre se dio a partir del seguimiento permanente de las actividades de la Oficina, toma de decisiones y mejoras correctivas oportunas en el cumplimiento de las tareas de la Oficina por parte del Jefe con la debida comunicación al equipo de trabajo. Se concluye que se dio cumplimiento a todas la actividades formuladas en el Plan Anual de Auditorias de la vigencia 2021</t>
  </si>
  <si>
    <t xml:space="preserve">Se reporta con corte a 31 de agosto. El incremento obtenido del indicador respecto al anterior reporte se da gracias a las mesas de trabajo adelantadas con las áreas gestión documental y financiera en el mes de agosto. </t>
  </si>
  <si>
    <t>El resultado reportado para este seguimiento, con corte a 31 de agosto, se da a la socialización enfocada al cargue y presentación de información para los seguimientos realizados desde la Oficina de Control Interno.</t>
  </si>
  <si>
    <t>Las actividades reportadas en el numerador corresponden a  las acciones terminadas y en proceso. Quiere decir que son acciones donde se ha dado inicio o se cumplió con lo formulado por las áreas. El reporte se da con corte al 31 de diciembre,. El resultado también es producto de las mesas de trabajo adelantadas con las áreas de la entidad y el acompañamiento permanente. Dos (2) de las tres (3) acciones incumplidas corresponden a la necesidad de fortalecer la autoevaluación por parte de los responsables que permita determinar de manera oportuna la reprogramación de las metas en coherencia con los cambios en el entorno organizacional.</t>
  </si>
  <si>
    <t>En el tercer trimestre de 2021, hallamos una disponibilidad de $4,828 millones de pesos. Lo anterior significa un aumento en relación al trimestre anterior, ya que se recibió aporte ordinario de la Secretaria de Hacienda por valor total de $5,100 millones de pesos.  Los pagos para el trimestre son aproximados a $1,944 millones de pesos.</t>
  </si>
  <si>
    <t>Ene</t>
  </si>
  <si>
    <t>Feb</t>
  </si>
  <si>
    <t>Mar</t>
  </si>
  <si>
    <t>Abr</t>
  </si>
  <si>
    <t>May</t>
  </si>
  <si>
    <t>Jun</t>
  </si>
  <si>
    <t>Jul</t>
  </si>
  <si>
    <t>Ago</t>
  </si>
  <si>
    <t>Sep</t>
  </si>
  <si>
    <t>Oct</t>
  </si>
  <si>
    <t>Nov</t>
  </si>
  <si>
    <t>Dic</t>
  </si>
  <si>
    <t>T1: En relación al planteamiento de las actividades se realiza la verificación de los tiempos y disposición de los archivos físicos definiendo el volumen documental para las transferencias primarias. 
T2: Se realizo la validación del período No 1 verificando las series correspondientes a transferir de acuerdo con las tablas de valoración documental clasificación de las series de conservación total y levantamiento del inventario documental inicial.
T3: Se realizo la clasificación, ordenación y organización  de los expedientes del primer periodo así como el cambio de las unidades de conservación, se realiza el inventario en estado natural de un total de 60 carpetas así como las cotizaciones para la adquisición de unidades de conservación para realizar el proceso de transferencias secundarias, se proyecta para el  ultimo trimestre del año 2021 realizar inventario analítico de transferencias secundarias y así poder programar con el Archivo de Bogotá una posible entrega para el año 2022.
T4: Para el ultimo trimestre del año 2021 se realizo la solicitud de contratación de unidades de conservación (cajas y carpetas) con la empresa LEGARCHIVOS SAS, y se realizaron las entrevistas con los grupos internos de trabajo con el fin de revisar y aprobar las propuestas de Tabla de Retención Documental de Canal Capital.</t>
  </si>
  <si>
    <t>T1: Se realizaron las actividades programadas para el trimestre.
T2: Se realizaron las actividades programadas para el trimestre correspondientes a cada área de la Subdirección.
T3: se realizo revisión del listado maestro identificando formatos actualizados, eliminados y creados.
T4: Se realiza actualización de los formatos de retiro de servidor público, Manual de gestión documental, instrumento archivístico banco terminológico, Manual de avalúo de bienes y activos fijos, Manual de gestión de usuarios, manual del sistema de seguridad de la información, acta de entrega servicios TIC, Manual de usuario unidades de equipos G-suite, guía de reportes de incidentes de seguridad y se envió para aprobación la actualización del plan de emergencias.</t>
  </si>
  <si>
    <t>T1: Se tuvo dos demostraciones con dos proveedores de software de inventarios.
T2: Durante el segundo trimestre de 2021 no se logró avanzar en el estudio de mercado dado que el área desea replantear la acción inicial en compañía con el área de sistemas.
T3: Se tuvo acercamientos con el área de Sistemas de la Entidad donde se planteó la posibilidad de implementar un solo software de información entre Contabilidad y Almacén, es decir, unirlo con el sistema SIIGO actual de contabilidad. Queda pendiente realizar una reunión con los asesores de SIIGO para validar esta información.
T4: De acuerdo a lo indicado por el área de Control Interno en la auditoría del proceso realizada a Servicios Administrativos, está actividad es un proyecto puntual y no mide la gestión continua del área, por lo que, se deberá tener en cuenta para ajustar el Plan de Acción Institucional en la siguiente vigencia.</t>
  </si>
  <si>
    <t>T1: De las cuatro actividades programadas durante la vigencia 2021, se avanza en 2 de ellas, las cuales son adecuación de portería en casa de la 69 e instalación de herrajes en algunas puertas en casa de la 69.
T2: Se realiza una primera intervención de impermeabilización y pintura a la pared izquierda donde se ubica el árbol de la casa.
T3: Se finaliza con la actividad de impermeabilización de la pared izquierda del inmueble, traslada varias oficinas de la calle 26 al inmueble y se adquiere herrajes para las ventanas.
T4: Se realiza intervención a la fachada del inmueble, el cual incluye impermeabilización, resane y pintura especial para exterior. Adicionalmente se realiza cambio del tejado en el patio trasero de la casa, el cual no se encontraba dentro de lo planeado en la vigencia 2021.</t>
  </si>
  <si>
    <t>T1: Para el periodo reportado, se realizaron las siguientes actividades acorde al plan de seguridad y privacidad de la información 2021: • Se desarrolló y publicó el plan de seguridad y privacidad de la información AGRI-SI-PL-003 en la intranet de la entidad.
• Se actualizaron tres (3) procedimientos (AGRI-SI-PD-014 COPIAS DE SEGURIDAD, AGRI-SI-PD-018 CREACIÓN DE USUARIOS Y EXPEDICIÓN DE CARNÉ INSTITUCIONAL y AGRI-SI-PD-017 SOPORTE TÉCNICO), los cuales se encuentran en proceso de publicación en la intranet de la entidad. • Se elaboró el plan de sensibilización del sistema de gestión de seguridad de la información, este será presentado al comité institucional en el mes de abril, con el propósito de que sea aprobado. • Se han implementado reglas y políticas a nivel de red LAN y WAN  en el FIREWALL de la entidad, con el fin de mitigar riesgos de seguridad en los activos de información de la entidad. • Se inició con la revisión de la documentación obligatoria requerida por la NTC/ISO:27001, con el fin de iniciar el proceso de certificación de un proceso de la entidad.
T2: Para el periodo reportado, se realizaron las siguientes actividades acorde al plan de seguridad y privacidad de la información 2021: • Para el periodo del reporte, se han implementado y documentado reglas y políticas a nivel de LAN y WAN en el FIREWALL de la entidad, lo anterior para salvaguardar la seguridad de la plataforma tecnológica y de la información que es producida y procesada por las áreas de capital en el cumplimiento de las funciones. • Se realizó la actualización AGRI-SI-GU-008 Guía de Acceso y Servicios de Red, debido al cambio de equipos y configuración lógica en la infraestructura tecnológica de la entidad. • Socialización de los procedimientos para el traslado, actualización y seguimiento del inventario de equipos tecnológicos entre las Áreas de sistemas y técnica. • Socialización de la Política de seguridad y privacidad de la información en el marco del plan de capacitación de Talento Humano. • Se elaboró, público y socializó el Plan de Sensibilización del Sistema de Gestión de Seguridad y Privacidad de la Información a través de comunicaciones internas.
T3: Para el periodo reportado, se realizaron las siguientes actividades acorde al plan de seguridad y privacidad de la información 2021: *Habilitación de política  en el equipo de seguridad perimetral (firewall), para la conexión o acceso remoto por medio de la aplicación VPN (forticlient) a la sede 2 chapinero. * Parametrización y configuración de políticas y reglas firewall Fortinet 401E: Se configuró política o regla  en el equipo de seguridad perimetral (firewall), para publicar la VLAN 1 con el segmento de red 2801:16:6800:100::/64 y VLAN 504 con el segmento de red 2801:16:6800:200::/64. * Se diseñó el documento: CATÁLOGO DE SERVICIOS DE TECNOLOGÍAS DE LA INFORMACIÓN, el catálogo de servicio de TI, es elaborado para que los usuarios de Capital conozcan los servicios de TI que actualmente se encuentran implementados y operativos bajo la administración del área de sistemas, así mismo, en el marco de la implementación de la Política de Gobierno Digital: Catálogo de servicios de TI - LI.ES.11 y a las mejores prácticas de la industria de Tecnología de Información (ITIL®). * Se implementaron medidas preventivas en la infraestructura tecnológica de la entidad, de acuerdo al boletín de seguridad infraestructura critica emitido por el ColCert.
T4: Para el periodo reportado, se realizaron las siguientes actividades acorde al plan de seguridad y privacidad de la información 2021: * Se implementaron reglas y políticas en el sistema de seguridad perimetral: FIREWALL de la entidad, con el fin de mitigar riesgos de seguridad y privacidad de la información en los servicios tecnológicos. * Se gestionaron incidentes de seguridad de la información; 1. incidente de seguridad de la información sobre las unidades compartidas del servicio en la nube (Drive) 2. Evento de seguridad página web e intranet Canal Capital. * Se actualizó el documento AGRI-SI-MN-006 MANUAL DE POLÍTICAS COMPLEMENTARIAS DE SEGURIDAD Y PRIVACIDAD DE LA INFORMACIÓN V2 de acuerdo  a la implementación de la ISO 27002.
* Se realizó  el proceso de la auditoría en seguridad de la información realizada al área de sistemas por parte del proveedor Kreston.</t>
  </si>
  <si>
    <t>T1: Para el periodo reportado, se realizaron las siguientes actividades acorde al plan de tratamiento de riesgos de seguridad y privacidad de la información 2021: • Se desarrolló y publicó el plan de tratamiento de riesgos de seguridad y privacidad de la información 2021 AGRI-SI-PL-004 v1 en la intranet de la entidad. • Se han implementado reglas y políticas a nivel de red LAN y WAN  en el FIREWALL de la entidad, con el fin de mitigar riesgos de seguridad en los activos de información de la entidad.
T2: Para el periodo reportado, se realizaron las siguientes actividades acorde al plan de tratamiento de riesgos de seguridad y privacidad de la información 2021: • Se encuentra en proceso de elaboración la “Matriz de riesgos seguridad digital 2021 V1”, esta se inició a elaborar de acuerdo a la guía de gestión de riesgos del MinTIC.• Implementación de acciones preventivas en los recursos de seguridad perimetral de la entidad, con el fin de prevenir riesgos de incidentes de fuga de información e indisponibilidad de los servicios tecnológicos.
T3: Para el periodo reportado, se realizaron las siguientes actividades acorde al plan de tratamiento de riesgos de seguridad y privacidad de la información 2021: * Se han realizado depuración y seguimiento a las políticas y reglas implementadas en el sistema de firewall Fortinet 401E de la entidad. * Se elaboró la “Matriz de riesgos seguridad digital 2021 V1”, esta se elaboró de acuerdo a la guía de gestión de riesgos del MinTIC y Guía para la administración del riesgo y el diseño de controles en entidades públicas, esta se encuentra en proceso de revisión por parte de la oficina de planeación. *Se enviaron correos al área de comunicaciones con recomendaciones para evitar el Phishing, Malware y Spam en la información de los usuarios de la entidad, de acuerdo al boletín de seguridad emitido por el Csirt Ponal.
T4: Para el periodo reportado, se realizaron las siguientes actividades acorde al plan de tratamiento de riesgos de seguridad y privacidad de la información 2021: * Se realizó el proceso de actualización de la EPLE-PO-001 POLÍTICA DE ADMINISTRACIÓN DE RIESGOS, en lo concerniente a los riesgos de seguridad digital. * Se finalizó la formulación de la matriz de gestión de riesgos de seguridad digital, de acuerdo a los lineamientos impartidos por la Función Pública y el Ministerio de las TIC. Esta se encuentra en proceso de unificación con la matriz de riesgos de gestión de la entidad. * Se gestionaron solicitudes de recomendaciones y medidas preventivas para el uso responsable de los recursos tecnológicos y la información de la entidad.</t>
  </si>
  <si>
    <t>T1: Durante el primer trimestre se presento indisponibilidad en la señal de streaming por fallas en el servicio de internet en el Canal el día 14 de marzo, se reporta la continuidad del servicio par el mes de Marzo del 99%, el promedio para el trimestres de la continuidad en la prestación del servicio es del 99%.
T2: Durante el segundo trimestre se presento indisponibilidad en la señal de streaming por fallas en el servicio de internet en el Canal el día 15 de abril, el promedio para el trimestres de la continuidad en la prestación del servicio es del 100%.
T3: Durante el tercer trimestre se presento indisponibilidad en la señal de Capital, Eureka, Streaming y video en el por fallas en el servicio de internet en el Canal los días 13, 19, 22,  27 de agosto y los días 19 y 25 de septiembre, el promedio para el trimestre en la continuidad en la prestación del servicio es del 99,96%.
T4: Durante el cuarto trimestre no se presento indisponibilidad en la señal de Capital, teniendo para el trimestre reportado la continuidad en la prestación del servicio del 100%. Para la vigencia del 2021 la disponibilidad de la señal presento algunas fallas de streaming en los meses de febrero, marzo, abril, fallas en la señal de Eureka y Capital en el mes de agosto y septiembre, estas se debieron a inconvenientes con el servicio de internet del canal, teniendo como promedio para la vigencia del 2021 en la continuidad de la prestación del servicio del 99.77%.</t>
  </si>
  <si>
    <t>T1: De las cuatro actividades planteadas para el 2021, se tiene al 80% la del proceso de reclutamiento y selección. Esta en proceso el contrato para la aplicación de pruebas.
T2: De los cuatro ítems del plan, el punto 1 esta en el 80% que es contrato de pruebas para el proceso de selección. Del punto 2  se actualizó la matriz de peligros y valoración de riesgos. Del punto 3 esta en proceso de contratación. Del 4 ítem. Se realizó la actualización del manual de inducción para contratistas y se envía el kit de bienvenida. Al igual se realiza inducción para los nuevos servidores de planta.
T3: De los cuatro ítems del plan, el punto 1 esta en el 90% que es contrato de pruebas para el proceso de selección. Del punto 2  se actualizó la matriz de peligros y valoración de riesgos esta al 99%.Del punto 3 ya se contrato el profesional y se va iniciar el programa un avance del 20%. Del 4 ítem. Se realizó la actualización del manual de inducción para contratistas y se envía el kit de bienvenida. Al igual se realiza inducción para los nuevos servidores de planta al 90%.
T4: De los cuatro ítems del plan, el punto 1 esta en el 100% que es contrato de pruebas para el proceso de selección. y el uso del mismo para la contratación de nuevos funcionarios en la entidad Del punto 2  se actualizó la matriz de peligros y valoración de riesgos esta al 99%.Del punto 3 ya se contrato el profesional y se inició el programa un avance del 70%. Del 4 ítem. Se realizó la actualización del manual de inducción para contratistas y se envía el kit de bienvenida. Al igual se realiza inducción para los nuevos servidores de planta al 90%.</t>
  </si>
  <si>
    <t>T1: Se realizaron las actividades programadas en el cronograma de plan de bienestar.
T2: Se realizaron de  27 actividades se realizaron 28 estipuladas en el cronograma de plan de bienestar.
T3: Se realizaron 31 actividades de 28 estipuladas  en el cronograma de plan de bienestar.
T4: Se realizaron las 24 actividades estipuladas en el cronograma de plan de bienestar y adicionalmente se incluyeron otras 3 actividades relacionadas con el centro de apoyo emocional del distrito.</t>
  </si>
  <si>
    <t>T1: De acuerdo con el plan de trabajo anual del sistema de gestión de seguridad y salud en el trabajo se adelantaron las siguientes actividades (reuniones mensuales del COPASST, reunión trimestral del CCL, actividades de prevención de contagio COVID 19, uso de elementos de protección personal, pausas activas), se reprogramó la actividad de riesgo psicosocial para el mes de abril, el cumplimiento del plan se ha adaptado en concordancia con las diferentes modalidades de trabajo que desarrollan los diferentes equipos de trabajo de la entidad.
T2: De acuerdo con el plan de trabajo anual del sistema de gestión de seguridad y salud en el trabajo se adelantaron las siguientes actividades (reuniones mensuales del COPASST, reunión trimestral del CCL, convocatoria y elección del CCL, actividades de prevención de contagio COVID 19, pausas activas, capacitaciones en manejos de sustancias químicas, riesgo psicosocial, riesgo eléctrico, seguridad en la vía), el cumplimiento del plan se ha adaptado en concordancia con las diferentes modalidades de trabajo que desarrollan los diferentes equipos de trabajo de la entidad.
T3: De acuerdo con el plan de trabajo anual del sistema de gestión de seguridad y salud en el trabajo se adelantaron las siguientes actividades (reuniones mensuales del COPASST, reunión trimestral del CCL, actividades de prevención de contagio COVID 19, pausas activas, capacitaciones en seguridad vial, riesgo psicosocial, y manejo de emergencias), se ejecutó la jornada de exámenes médicos ocupacionales periódicos para el personal de planta. El cumplimiento del plan se ha adaptado en concordancia con las diferentes modalidades de trabajo que desarrollan los diferentes equipos de trabajo de la entidad. A la fecha no se reportan accidentes de trabajo para la vigencia 2021.
T4: De acuerdo con el plan de trabajo anual del sistema de gestión de seguridad y salud en el trabajo se adelantaron las siguientes actividades (reuniones mensuales del COPASST, reunión trimestral del CCL, actividades de prevención de contagio COVID 19, pausas activas,  riesgo psicosocial, y manejo de emergencias), se participó del simulacro distrital de emergencias. El cumplimiento del plan se ha adaptado en concordancia con las diferentes modalidades de trabajo que desarrollan los diferentes equipos de trabajo de la entidad. No se reportan accidentes de trabajo para la vigencia 2021.</t>
  </si>
  <si>
    <t>T1: De las actividades del cronograma se han realizado las del primer trimestre. Las cuales se suben en el drive.
T2: De las actividades del cronograma se han realizado las del segundo trimestre. Las cuales se suben en el drive.
T3: De las actividades del cronograma se han realizado las del tercer trimestre. Las cuales se suben en el drive.
T4: De las actividades del cronograma se han realizado las del cuarto trimestre. Las cuales se suben en el drive. (divulgación del manual de convivencia y código de integridad en el boletín interno y comunicado de actividades, participación en los retos de senda de integridad, desarrollo de encuesta de percepción del código de integridad y consolidado de resultados).</t>
  </si>
  <si>
    <t>T1: Durante el primer trimestre del año la gestión PIGA se enfocó en el reporte de informes de la gestión 2020 a los diferentes entes de control (SDA, UAESP, IDEAM). Frente a las actividades del Plan de Acción PIGA se avanzó en las inspecciones a los sistemas de iluminación y de abastecimiento de agua tanto para la sede principal como para la casa de la 69, así mismo se generaron tres piezas comunicativas asociadas a temáticas de gestión ambiental. 
T2: Si bien se han llevado a cabo varias actividades importantes de gestión, los retrasos en la contratación han afectado el normal cumplimiento de la gestión ambiental del Canal lo que hace necesario ejecutar las contrataciones programadas en el tercer trimestre del año con el fin de no presentar rezagos ni debilidades en la ejecución de los diferentes programas de gestión ambiental. Es importante resaltar la ejecución de las diferentes actividades de gestión tales como la planificación y ejecución de la semana ambiental y los informes de inspección de los diferentes sistemas de las dos sedes de la entidad. Así mismo se presenta un retraso en la ejecución de la meta de movilidad sostenible que se espera tener lista en el tercer trimestre del año. 
T3: Durante este periodo se avanzó en actividades de gestión en el marco del plan de acción PIGA tales como capacitaciones en materia de gestión de residuos y gestión de residuos peligrosos, se conformó el equipo de movilidad sostenible y se llevó a cabo la primera reunión del mismo, también se avanzó en la contratación de los diferentes bienes y servicios necesarios para la gestión ambiental de la entidad, por otro lado, se dio continuidad a las mesas de trabajo con el equipo de consumo sostenible y se llevó a cabo una capacitación sobre producción y consumo sostenible con el apoyo de la Secretaría Distrital de Ambiental, por último se adelantaron las inspecciones a las instalaciones de la entidad y se emitieron los diferentes informes con el estado de los sistemas de iluminación, puntos de agua y residuos sólidos. Se presenta un rezago del 2% asociado con los informes de consumo de recursos que se presentarán en el cuarto trimestre del año.
T4: Para el cuatro trimestre del año se presentó un avance del 85% dando como resultado acumulado un avance del 91% para la vigencia 2021, en el periodo se avanzó en temas de inspecciones a las instalaciones físicas de la entidad identificando el estado de los sistemas se abastecimiento de agua y energía, y se adelantaron las diferentes capacitaciones y actividades de gestión orientadas a fortalecer la gestión de residuos peligrosos y no peligrosos y se conformó y gestionó la primera reunión del equipo de movilidad sostenible de la entidad, finalmente se ejecutó el contrato 641 de 2021 por medio del cual se logró el reemplazo de sistemas de iluminación LED de la sede de la calle 69. Por otro lado, se presentaron retrasos en las contrataciones relacionadas directamente con la compra de puntos ecológicos, kit de derrames y entrega de gestión de residuos peligrosos, en este sentido para las dos primeras adquisiciones se llevó el proceso de contratación hasta la última fase pero no fue posible hacer la compra toda vez que se presentaron inconvenientes asociados con la figura de ordenadora del gasto de la entidad frente a la tienda virtual del estado colombiano, frente a la última adquisición se suscribió el contrato 648 de 2021 por medio del cual se aseguró la gestión de residuos peligrosos, sin embargo para el año 2021 dicha entrega se relacionó con la entrega de residuos peligrosos por parte de la coordinación técnica en el marco de los contratos de mantenimiento de vehículos y plantas eléctricas.</t>
  </si>
  <si>
    <t>T1: Con corte a 31 de marzo la entidad presenta unos compromisos superiores al valor recaudado, por lo cual se arroja un resultado del indicador inferior a 1; es de anotar que los compromisos son superiores dado que se adelantó contratación en el rubro de Adquisición de Bienes y Servicios  por 12 meses. Se recomienda realizar revisión del flujo de caja y el plan anual de adquisiciones para determinar el respaldo de los pagos de los compromisos adquiridos, como al igual el planteamiento de estrategias de ventas de servicios para incrementar el recaudo de recursos propios.
T2: Con corte al 30 de junio de 2021, se evidencia que el valor del recaudo acumulado es inferior al valor de los compromisos al periodo de informe, toda vez que la Secretaria Distrital de Hacienda no realizó el desembolso que se tenia previsto para el mes de mayo de $ 3.100 millones lo cual impacto el flujo de caja, aunado al hecho de que la contratación se adelanto por 12 meses.
T3: Con corte a 30 de septiembre del año en curso los ingresos propios son inferiores en $2.961 millones frente a las obligaciones que se deben cubrir con dichos ingreso; lo anterior obedece al bajo recaudo en el rubro de ventas y servicios. Se espera para el cuarto trimestre alcanzar la meta de recaudo.
T4: Al cierre de la vigencia fiscal 2021, los ingresos propios resultaron ser suficientes frente a los compromisos suscritos que se deben cubrir con dichos ingreso; No obstante, el recaudo de venta de servicios fue inferior a la apropiación, por lo cual para la vigencia 2022 se sugiere establecer estrategias que permitan generar un mayor nivel de venta de servicios y lograr un recaudo cercano a la apropiación.</t>
  </si>
  <si>
    <t xml:space="preserve">T1: Durante el primer trimestre se genero un cumplimiento promedio del 88% al pago de las cuentas de contratistas y proveedores en un tiempo promedio de 4 días, esto indica que se esta realizando una buena gestión en la cadena de: radicación, liquidación, descargue de presupuesto y pago tesoral.
T2: Durante el segundo trimestre se genero un cumplimiento promedio del 78,12% al pago de las cuentas de contratistas y proveedores en un tiempo promedio de 4 días, esto indica que se esta realizando una buena gestión en la cadena de: radicación, liquidación, descargue de presupuesto y pago tesoral.
T3: En el tercer trimestre se genero un cumplimiento promedio del 55%, en comparación con los trimestres anteriores este presenta una disminución debido a las medidas tomadas para darle manejo al flujo de caja de la entidad, se dio prioridad a los pagos de las personas naturales, sin dejar de lado el pago a las personas jurídicas pero teniendo en cuenta las fechas de vencimientos relacionadas en las facturas y/o en los contratos que por lo generar son superiores al del indicador establecido. En ningún caso se ha superado el plazo establecido en los pagos realizados.
T4: En el cuarto trimestre se generó un cumplimiento promedio del 52%, sin embargo, es importante mencionar que para el mes de diciembre el porcentaje de cumplimiento fue del 74,83% dando prioridad a los pagos de personas naturales y cumpliendo con las fechas estipuladas en los contratos con las personas jurídicas. </t>
  </si>
  <si>
    <t>T1: Para el primer trimestre 2021, encontramos una disponibilidad de recursos de $7,842 millones de pesos. Esto obedece a que a la fecha no se ha realizado el pago total de  cuentas por pagar a Diciembre 31 de 2020 y en inicio de vigencia los pagos de vigencia 2021 son bajos.
T2: En el  segundo  trimestre 2021, encontramos una disponibilidad de recursos de $3,877 millones de pesos. Teniendo en cuenta que para este periodo no ingreso los recursos de aporte ordinario programado para el mes de mayo de 2021 por parte de la Secretaria de Hacienda. Arrojando una disminución significativa en los ingresos recibidos y también se presentó un desembolso mayor por el pago de sentencias judiciales por valor de $1,252 millones de pesos.
T3: En el tercer trimestre de 2021, hallamos una disponibilidad de $4,828 millones de pesos. Lo anterior significa un aumento en relación al trimestre anterior, ya que se recibió aporte ordinario de la Secretaria de Hacienda por valor total de $5,100 millones de pesos.  Los pagos para el trimestre son aproximados a $1,944 millones de pesos.
T4: Para el cuarto trimestre de 2021, evidenciamos un ingreso suficiente para cubrir los pagos o desembolsos programados para el cierre de vigencia. Quedando así para el cierre una disponibilidad de $6,923 millones de pesos versus unas cuentas por pagar a dic.31-21 por valor de $ 6,025.</t>
  </si>
  <si>
    <t>T1: De acuerdo a la información financiera con corte a 31 de marzo de 2021, podemos decir que la entidad presenta una liquidez optima, por lo cual puede cumplir con sus deudas a corto plazo. De igual manera presenta una solvencia suficiente para poder atender las obligaciones que surge producto del desarrollo de su actividad misional. Canal Capital cuenta con el suficiente musculo financiero representado en los bancos para atender todas aquellas obligaciones de pago inmediato y aun así posee recursos para seguir operando con normalidad, sin tener que llegar a comprometerse con la venta de sus activos fijos o recurrir a créditos bancarios. La entidad presentó un déficit al cierre de marzo, sustentado principalmente por que los costos se incrementaron en un 60% y los ingresos solo aumentaron en un 14% en comparación al mes inmediatamente anterior, esto se debió a que no alcanzo a quedar efectiva la Subvención de la SHD al cierre de mes, la cual apalancarían los costos de operación del periodo.
T2: En el segundo trimestre se presentó un déficit acumulado a corte de 30 de junio por valor de -$6.079.546.951 esto debido a que los Ingresos no superaron los Costos y Gastos en lo que incurrió el Canal para su normal funcionamiento, es de aclarar que del total de los ingresos acumulados al corte de 30 de junio el porcentaje que representa las Subvenciones recibidas corresponden al 72% del Ingreso total preliminar. Por lo anterior, el indicador no se ha cumplido según lo estipulado en el PAI. 
T3: Durante el tercer trimestre se presentó un déficit acumulado a corte preliminar del mes de septiembre de 2021 por valor de $4.634.649.163 millones, que equivale al 70% de los aportes sociales del Canal. Este déficit se ha venido presentado a causa del incremento en mayor proporción de los costos y gastos acumulados los cuales ascienden a $24.190.653.692 en comparación con los ingresos acumulados equivalentes a $19.556.004.528; sin embargo, de acuerdo con los indicadores financieros se observa que Canal Capital cuenta con un buen flujo de caja para atender las obligaciones del corto plazo. Se recomienda estudiar estrategias que favorezca la generación u obtención de ingresos, así como racionalizar los costos y gastos, esto con el fin de buscar un punto de equilibrio al finalizar la vigencia y no cerrar el año con déficit muy alto.
T4: • Para el cierre preliminar del periodo de diciembre se presentó un déficit preliminar de $1.969 millones de pesos m/cte. • Al corte preliminar del mes de diciembre de 2021 Canal Capital tiene un resultado como déficit acumulado de $43.308 millones, que equivale al 70% de los aportes sociales del Canal. • De acuerdo con los indicadores financieros se observa que Canal Capital cuenta con un buen flujo de caja para atender las obligaciones del corto plazo.</t>
  </si>
  <si>
    <t>T1: A 31 de marzo de 2021 se obtuvo una gestión de cobro 89,21%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119.338.738.
T2: A 30 de junio de 2021 se obtuvo una gestión de cobro 98,12%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50,191,539
T3: A 30 de septiembre de 2021 se obtuvo una gestión de cobro 86,25% del total de servicios facturados por venta de servicios al cierre del trimestre y realizando la comparación con el total del recaudo de dichos servicios facturados en el tercer trimestre de 2021  (cabe indicar que este recaudo es bruto, es decir se incluyen los descuentos que realizaron los clientes), quedado una cartera por recolectar de 199.482.205 de los servicios facturados en el ultimo trimestre.
T4: A 31 de diciembre de 2021 se obtuvo una gestión de cobro 81,16% del total de servicios facturados por venta de servicios al cierre del trimestre y realizando la comparación con el total del recaudo de dichos servicios facturados en el cuanto trimestre de 2021  (cabe indicar que este recaudo es bruto, es decir se incluyen los descuentos que realizaron los clientes), quedado una cartera por recolectar de 670.811.685 de los servicios facturados en el ultimo trimestre.</t>
  </si>
  <si>
    <t>T1: El día 19 de enero de 2021, mediante correo del área de comunicaciones (comunicado interno No. 47) se publicó el nuevo catálogo de las cuentas presupuestales - CCPET.
T2: Para el segundo trimestre 30 de junio, se da cumplimiento a lo programado.
T3: El día 29 de septiembre de 2021, mediante correo del área de comunicaciones (Boletín No. 33) se publico nuevamente los pasos para el diligenciamiento adecuado de las cuentas de cobro teniendo en cuenta que es el motivo por el cual se genera la mayor parte de las devoluciones de las cuentas de cobro de los contratistas (personas naturales).
T4: Durante el cuarto trimestre fueron emitidas dos piezas comunicativas así: El día 10 de diciembre se emitió la circular 10 sobre Gestión de Solicitudes de CDP. El día 30 de diciembre Se emitió el informe de Ordenes de pago tramitadas y pagadas en la vigencia 2021.</t>
  </si>
  <si>
    <t>T1: Con fundamento en el seguimiento se observa que las actividades 1, 3, 4 y 5  se adelantaron en su totalidad como se advierte en las evidencias cargadas en el Drive. Por su parte, la actividad 2 que corresponde al desarrollo completo del software se calcula con avance del 3 % del veinte 20 % proyectado para la vigencia 2021 en razón a que según lo reportado por el profesional universitario de Sistemas, Mauris Antonio Ávila, el avance del software en relación con el 100 %, es del 15 %.
T2: Teniendo en cuenta el ajuste realizado al indicador relacionado con la medición de actividades propias de la vigencia fue necesario actualizar el reporte del primer trimestre, para el cual el avance estimado fue de un 30%. A continuación se relacionan los avances estimados para el segundo trimestre de 2021: De 1. fase 1:  solicitud de la secretaria general.... Completa 20% ejecutado 2. Fase 1. desarrollo del componente contractual del software.... el desarrollo de las actualizaciones de integración al ERP Capital se encuentran en desarrollo, los mismos dependen de la integración de la base de datos  y la parametrización de usuarios al total de los módulos, para el periodo evaluado dichas actualizaciones se encuentran en un 10% de desarrollo 3. Fase 1. puesta en marcha del software para uso.... En la actualidad el software se encuentra en operación y el lanzamiento de sus actualizaciones dependen del desarrollo de otros módulos componentes del ERP, por lo cual para esta actividad no se reporta porcentaje de avance. 4. fase 2: desarrollo de mejora del software para uso de otras....Se realiza la actualización de los módulos de soporte, pasantes, recursos humanos y el lanzamiento del módulo de configuración con un avance del 9%. 5. fase 2. capacitación para usuarios del software... Para el lanzamiento de los módulos antes expuestos se realizaron videos y capacitación a usuarios administradores con un avance ponderado igual a su desarrollo del 9%. Como evidencia se aporte correo electrónico del Ingeniero Mauris Ávila Profesional Universitario de Sistemas.
T3: En el periodo reportado se logró consolidar el software de gestión documental, conforme los lineamientos y requerimientos inicialmente planteados para su creación. Aun cuando la herramienta es susceptible de mejora continua como en efecto está siendo desarrollada, con base en la necesidad planteada al momento de construir el plan de acción de ha logrado ya el 100% del cometido planteado. La evidencia se traslada al software mismo, el cual se encuentra en la intranet del canal para su verificación.
T4: En el periodo reportado se ha avanzado en el mejoramiento continuo del software. Como se reportó en el trimestre pasado, la necesidad planteada al momento de construir el plan de acción se ha logrado ya el 100% del cometido planteado. La evidencia se traslada al software mismo, el cual se encuentra en la intranet del canal para su verificación.</t>
  </si>
  <si>
    <t>T1: Para el periodo reportado se han realizado actividades de levantamiento de información funcional, análisis de la misma y se encuentra en proceso de diseño del módulo componente de software de financiera.
T2: Se encuentra en proceso de desarrollo el ERP INHOUSE, el cual ya tiene habilitado en producción los módulos de pasantes, denuncias, soportes, configuración y en desarrollo se encuentran los módulos de financiera y contratos. Puesta en producción del ERP del canal en el sitio de la intranet  http://intranet.canalcapital.gov.co/erp/ Análisis, diseño, desarrollo, implantación e implementación del módulo de denuncias para el área de talento humano, en funcionamiento en el sitio http://intranet.canalcapital.gov.co/intranet/rrhh/denuncia/ 
T3: * Alistamiento, implementación y pruebas de Cuatro (4) dispositivos Access Point (APs), para acceso a red de área local inalámbrica (WLAN) o WIFI, en la sede 2 Chapinero calle 69. * Movimiento switch HPE OfficeConnect 1420 (JHO19A) con características POE, para dar corriente eléctrica a los 5 Access point (APs) de la red WLAN o WIFI, sede 1 Avenida el Dorado. * Se desplegaron servidores con el protocolo IPv4/IPv6. * Se desplegaron equipos finales sobe el protocolo IPv4/IPv6 con direccionamiento IP en la VLAN 504 2801:16:6800:200::/64. * Migración, configuración y parametrización red de área local inalámbrica (WLAN), adopción y configuración de (5) dispositivos Access Point (APs), para acceso a red de área local inalámbrica (WLAN) o WIFI, en la sede 1 avenida el dorado. * Soporte a la aplicación ORDPAGO y generación de archivos planos para bancos. * Puesta en producción del ERP del canal en el sitio de la intranet  http://intranet.canalcapital.gov.co/erp/ * Implementación de los módulos de Denuncia, Pasantes Soporte y Configuraciones generales en el ERP, para todos los usuarios teniendo en cuenta los perfiles de acceso para cada módulo. * Análisis, diseño, desarrollo, implantación e implementación del módulo de financiera con inserción y edición del anteproyecto para el próximo año, en funcionamiento en el sitio http://intranet.canalcapital.gov.co/erpc/ para pruebas y ajustes.
T4: * Se realizó desarrollo, actualización, implementación y ajustes al módulo de financiera totalmente integrado en el ERP del canal. * Se realizó la actualización de los módulos de documentación, radicación, pasantes y soporte, en una sola base de datos.
* Se realizaron ajustes y adiciones de seguridad a todos los módulos los cuales permiten minimizar el riesgo de ataques a nuestro software y bases de datos. * Se desarrolló el módulo de simulador de asignación temporales salarial para el área de recursos humanos, el cual permite simular según los honorarios actuales, el nuevo valor asignado con la temporal. Se colocaron perfiles y se integró dentro del ERP y ERPC. * Se desarrolló el módulo de preguntas y respuestas para el proceso de asignación salarial, como medio de comunicación entre el contratista y canal capital. * Se desarrolló el módulo de preguntas y respuestas para el proceso de solicitudes de derechos de autor, el cuál se llevaba en Excel de forma manual y ahora permite llevar el mismo registro digital, pero controlado por perfiles de acceso y control de la información. * Durante los meses del reporte se realizaron 8 reuniones con las áreas funcionales para el seguimiento de las funcionalidades desarrolladas.</t>
  </si>
  <si>
    <t>T1: En diciembre de 2020 se adelantó la modificación del Manual de contratación adoptado mediante la Resolución 146 de 2020 en la que se señaló que la nueva versión entraría en vigencia el 1 de enero de 2021. Posteriormente, se adelantó una nueva modificación en razón a que se encontraron errores de forma, por lo que mediante la Resolución 018 de 2021 se adoptó la versión vigente del Manual de contratación. En el enlace Drive dispuesto para tal fin, se publicaron las evidencias de las discusiones del comité de contratación para aprobar las correspondientes versiones del citado Manual, las resoluciones expedidas, la socialización de los documentos y las capacitaciones respectivas.
T2: Se realizó modificación del numeral 3.3.9.1 del Titulo III Capitulo I del Manual de Contratación mediante la Resolución 038 del 3 de mayo de 2021.  Se incluyen como parte de las evidencias, la Resolución No. 038 del 3 de mayo de 2021, el acta de comité de contratación de fecha 3 de mayo de 2021, en sesión asincrónica fue aprobada la modificación previamente señalada.
T3: Teniendo en cuenta que la revisión y actualización del manual de contratación no abarcó lo relativo a la supervisión e interventoría, se inició para este periodo la actualización de este componente en un documento aparte.
T4: Se está realizando la revisión y actualización del manual de supervisión e interventoría por parte del equipo de Secretaría General.</t>
  </si>
  <si>
    <t>T1: 1. Se solicitó orientación respecto del acceso al Sistema Distrital de Información Disciplinaria (SID) mediante oficio enviado a la Secretaría Jurídica Distrital por lo que, adicionalmente, mediante correo electrónico del 9 de marzo del presente, se envió solicitud de la creación de usuarios en el SID. Al no contar con dicho acceso al sistema, se publicó en la sección "7. Control" del botón de transparencia, numeral "7.6 defensa judicial", la información relativa a  los procesos judiciales de la entidad, incluyendo los procesos disciplinarios. En tal sentido, el análisis de resultados de la descripción de las actividades corresponde al 0% de avance.
T2: Con ocasión a la solicitud del 9 de marzo, el 23 de abril se recibió por correo electrónico la creación de usuarios para el ingreso a la plataforma. Así mismo, el pasado 30 de junio se envió solicitud con el propósito de agendar capacitación para el manejo del Sistema Distrital de Información Disciplinaria (SID), pero a la fecha no se ha obtenido respuesta alguna. En tal sentido, el análisis de resultados de la descripción de las actividades corresponde al 0% de avance.
T3: 1. El pasado 13 de agosto se llevó a cabo capacitación por parte de la Secretaría Jurídica Distrital respecto del manejo del Sistema Distrital de Asuntos Disciplinarios SID. 2. De otra parte se realizó la creación de usuarios sin embargo, hubo varios inconvenientes para el ingreso a la herramienta de Sistema Distrital de Asuntos Disciplinarios SID, por lo que en varias ocasiones se envió solicitud a la  Dirección Distrital de Asuntos Disciplinarios para que realizaran el restablecimiento respectivo. Posterior a lo anterior, se procedió a la creación y registro de procesos en el Sistema de Información de Procesos Disciplinarios - SID, sin embargo no fue posible, atendiendo a que se requería la creación de un trabajador oficial en el sistema, para poder vincularlo como implicado al momento del registro, para lo cual se envió solicitud mediante correo electrónico el 16 de septiembre y reiteración del 24 de septiembre, pero no se obtuvo respuesta en el mes.  Para las actividades 3 y 4 no hay avance teniendo en cuenta lo mencionado anteriormente. 5. Se encuentra en trámite la actualización del procedimiento disciplinario de conformidad con las novedades introducidas por las leyes 1952 de 2019, modificada por la Ley 2094 de 2021. En tal sentido, el análisis de resultados de la descripción de las actividades corresponde al 50% de avance.
T4: Para la actividad 2 se registró el proceso disciplinario CID-001-2021, sin embargo está pendiente el registro del proceso CID-002-2021 atendiendo a que se requiere la creación de un trabajador oficial en el sistema, para poder vincularlo como implicado al momento del registro, para lo cual se envió solicitud mediante correo electrónico del 7 de diciembre y reiteraciones del 16, 22 y 27 de diciembre, pero no se obtuvo respuesta alguna. Para la actividad 5 se encuentra en trámite la actualización del procedimiento disciplinario de conformidad con las novedades introducidas por las leyes 1952 de 2019, modificada por la Ley 2094 de 2021. En tal sentido, el análisis de resultados de la descripción de las actividades corresponde al 80% de avance.</t>
  </si>
  <si>
    <t>T1: 1. Se definió la política de prevención de daño antijurídico mediante documento presentado el 31 de agosto de 2020, lo que corresponde al 20 % de avance. 2. Se adoptó la política de prevención de daño antijurídico mediante la Resolución 102 de 2020 del 31 de agosto de 2020, lo que corresponde al 10 % de avance. 3. Se socializó la política mediante correo electrónico enviado por la Gerencia el 31 de agosto de 2020 con alcance al mismo del 29 de septiembre de 2020, lo que corresponde al 20 % de avance. 4. A la fecha no se han adelantado capacitaciones al respecto. Sin embargo se está analizando el cronograma para la respectiva programación. El análisis de resultados de la descripción de las actividades corresponde al 50% de avance.
T2: El 11 de junio se llevó a cabo la capacitación "Socialización nuevas contrataciones" con el fin de explicar ciertos componentes de la política de prevención de daño antijurídico relacionado con los objetos contractuales para las contrataciones nuevas. Los demás aspectos de dicha política, se contemplarán mediante capacitación programada para el segundo semestre. En tal sentido, el análisis de resultados de la descripción de las actividades corresponde al 0,5 de avance.
T3: El 24 de agosto y el 10 de septiembre se llevaron a cabo capacitaciones de "Socialización Política de prevención de daño antijurídico" a supervisores y al equipo jurídico, con el fin de explicar cuáles son las causas más recurrentes que impactan al canal en materia litigiosa. El 1° de octubre se llevó a cabo la capacitación "Estudios previos y supervisión de contratos" a colaboradores del canal en general, con el fin de establecer directrices respecto de la elaboración de la justificación, enfoques específicos a proyectos o actividades y obligaciones. Aun cuando la periodicidad del reporte es semestral se informa seguimiento de avance a la fecha.
T4: El 24 de agosto y el 10 de septiembre se llevaron a cabo capacitaciones de "Socialización Política de prevención de daño antijurídico" a supervisores y al equipo jurídico, con el fin de explicar cuáles son las causas más recurrentes que impactan al canal en materia litigiosa. El 1° de octubre se llevó a cabo la capacitación "Estudios previos y supervisión de contratos" a colaboradores del canal en general, con el fin de establecer directrices respecto de la elaboración de la justificación, enfoques específicos a proyectos o actividades y obligaciones. Aun cuando la periodicidad del reporte es semestral se informa seguimiento de avance a la fecha. En tal sentido, el análisis de resultados de la descripción de las actividades corresponde al 100% de avance.</t>
  </si>
  <si>
    <t>T1: En el primer trimestre de la presente vigencia no se ha realizado ninguna acción que permita avanzar en las actividades propuestas.
T2: Se realizó una adecuación y/o estrategia a la página web en materia de accesibilidad web para personas en condición de discapacidad, la misma aún se encuentra en ejecución. Respecto a los servicios del canal se realizó una reunión con Dirección Operativa en la cual se unificaron los servicios que presta el canal actualizando el portafolio de servicios que tiene la entidad y publicándolo en la página web en el siguiente enlace:  https://www.canalcapital.gov.co/sites/default/files/1.2-Catalogo-Capital-2021.atencion-al-ciudadano-ABRIL-2021.pptx.pdf. (Esto teniendo en cuenta el Plan de Mejoramiento que ya se tenia desde la vigencia pasada en el Plan de Acción de la Política).  A principios de este mes se envió el formato de autoevaluación a las áreas competentes para poder definir si hace falta un plan de mejoramiento para las acciones que lo requieran.
T3: Se diligenció el Plan de Acción de la Política Institucional de Servicio al Ciudadano (autoevaluación) con las áreas competentes, el plan de mejoramiento resultado de esa autoevaluación se propondrá para el mes de noviembre con la revisión de Control Interno.
T4: Se diligenció el Plan de Acción de la Política Institucional de Servicio al Ciudadano (autoevaluación) con las áreas competentes, se formuló en el mes de noviembre el Plan de Mejoramiento que se llevará a cabo durante el año 2022.</t>
  </si>
  <si>
    <t>T1: Para el denominador se relacionan las peticiones que han sido registradas durante el periodo (mes) por la entidad y para el numerador se suman todas aquellas peticiones que fueron solucionadas en cada periodo (mes) sin tener en cuenta que hayan peticiones registradas en el mes pasado puesto que los tiempos de respuesta así lo permiten. Tener en cuenta que en el sistema Bogotá Te Escucha los tiempos están de acuerdo al Decreto 491 de 2020 mientras que en el cuadro de seguimiento por temas de control y oportunidad no, por tanto ninguna petición se ha vencido en términos de Ley.
T2: Para el denominador se relacionan las peticiones que han sido registradas durante el periodo (mes) por la entidad y para el numerador se suman todas aquellas peticiones que fueron solucionadas en cada periodo (mes) sin tener en cuenta que hayan peticiones registradas en el mes pasado puesto que los tiempos de respuesta así lo permiten. Tener en cuenta que en el sistema Bogotá Te Escucha los tiempos están de acuerdo al Decreto 491 de 2020 mientras que en el cuadro de seguimiento por temas de control y oportunidad no, por tanto ninguna petición se ha vencido en términos de Ley.
T3: Para el denominador se relacionan las peticiones que han sido registradas durante el periodo (mes) por la entidad y para el numerador se suman todas aquellas peticiones que fueron solucionadas en cada periodo (mes) sin tener en cuenta que hayan peticiones registradas en el mes pasado puesto que los tiempos de respuesta así lo permiten. Tener en cuenta que en el sistema Bogotá Te Escucha los tiempos están de acuerdo al Decreto 491 de 2020 mientras que en el cuadro de seguimiento por temas de control y oportunidad no, por tanto ninguna petición se ha vencido en términos de Ley.
T4: Para el denominador se relacionan las peticiones que han sido registradas durante el periodo (mes) por la entidad y para el numerador se suman todas aquellas peticiones que fueron solucionadas en cada periodo (mes) sin tener en cuenta que hayan peticiones registradas en el mes pasado puesto que los tiempos de respuesta así lo permiten. Tener en cuenta que en el sistema Bogotá Te Escucha los tiempos están de acuerdo al Decreto 491 de 2020 mientras que en el cuadro de seguimiento por temas de control y oportunidad no, por tanto ninguna petición se ha vencido en términos de Ley.</t>
  </si>
  <si>
    <t>T1: Teniendo en cuenta que se adelantan reuniones de seguimiento a las actividades formuladas de manera semanal al interior del equipo de la Oficina de Control Interno se logró cumplir con lo programado en el Plan Anual de Auditoría para el primer trimestre de la vigencia 2021.
T2: El resultado obedece al seguimiento que se efectuó semanalmente sobre la gestión de la oficina. En dicho espacio se reporta el estado de la actividades y se da las alertas ante posibles retrasos, lo que conllevo a que se adelantaron las acciones de manera oportuna que llevaran cumplimiento de las actividades en el periodo correspondiente.
T3: El resultado del tercer trimestre obedeció  a la atención de requerimientos presentados por la Contraloría de Bogotá en el marco de la visita de regularidad PAD 2021 - vigencia evaluada 2020. Se mantendrán los seguimientos semanales de actividades de la Oficina de Control Interno para tener el control de la gestión realizada y el cumplimiento de las fechas programadas.
T4: El resultado obtenido en el cuarto trimestre se dio a partir del seguimiento permanente de las actividades de la Oficina, toma de decisiones y mejoras correctivas oportunas en el cumplimiento de las tareas de la Oficina por parte del Jefe con la debida comunicación al equipo de trabajo. Se concluye que se dio cumplimiento a todas la actividades formuladas en el Plan Anual de Auditorias de la vigencia 2021.</t>
  </si>
  <si>
    <t>T1: Dada la periodicidad cuatrimestral de medición, no aplica reporte de seguimiento con corte al 31 de marzo.
T2: El resultado obtenido se debe a que las áreas de la entidad reportan que el cumplimiento de las acciones formuladas se programaron para el segundo semestre de la vigencia. Para el reporte de PAAC también se socializo al interior de la entidad la herramienta correspondiente la cual esta habilitada de forma permanente (salvo en fechas de seguimiento y evaluación que realiza la oficina de Control Interno). 
T3: El resultado reportado para este seguimiento, con corte a 31 de agosto, se da a la socialización enfocada al cargue y presentación de información para los seguimientos realizados desde la Oficina de Control Interno.
T4: Las actividades reportadas en el numerador corresponden a  las acciones terminadas y en proceso. Quiere decir que son acciones donde se ha dado inicio o se cumplió con lo formulado por las áreas. El reporte se da con corte al 31 de diciembre,. El resultado también es producto de las mesas de trabajo adelantadas con las áreas de la entidad y el acompañamiento permanente. Dos (2) de las tres (3) acciones incumplidas corresponden a la necesidad de fortalecer la autoevaluación por parte de los responsables que permita determinar de manera oportuna la reprogramación de las metas en coherencia con los cambios en el entorno organizacional.</t>
  </si>
  <si>
    <t>T1: Se llevó a cabo un avance en la determinación de proyectos a los cuales se les hará formulación de lecciones aprendidas, centrándose principalmente en rediseño de proceso internos de acuerdo con las necesidades institucionales y de manera articulada con la planeación institucional. Asimismo, se trabajó en la consolidación del documento de manera articulada con la Secretaría General de la entidad con el fin de adelantar las revisiones y complementos del caso.
T2: Se realizó el análisis de información del proyecto MegaI con Enfoque Naranja y se documentó en el formato dispuesto la lección aprendida frente al proyecto de manera relacionada con temas de innovación y emprendimiento corporativo.
T3: Se realizó la documentación completa de la lección aprendida obtenida a partir de la implementación y cierre del proyecto MegaI con Enfoque Naranja, donde se obtuvieron bases importantes para el desarrollo de estrategias institucionales encaminadas a la innovación pública y la gestión del conocimiento.
T4: Las lecciones aprendidas programadas para el año se documentaron de acuerdo con lo establecido en el formato y se encuentran disponibles como referente para la consolidación de la herramienta en la próxima vigencia. Los documentos de lecciones aprendidas se encuentran publicados en la intranet institucional, para conocimiento y consulta de los usuarios de la entidad, en la siguiente ubicación: Inicio &gt; MIPG &gt; 6. Gestión del conocimiento y la innovación &gt; Lecciones aprendidas &gt; 2021.</t>
  </si>
  <si>
    <t>T1: Se realizaron 6 capacitaciones que no estaban contempladas en el cronograma del PIC.
T2: Se realizaron las 29 capacitaciones que estaban programadas en el cronograma y 6 que no estaban programadas. Se suben a la carpeta las capacitaciones.
T3: Se realizan 18 capacitaciones de 17 que estaban programadas en el cronograma y se realizan 21 capacitaciones que no estaban programadas.
T4: Se ejecutaron las 21 actividades de capacitación programadas en el plan, adicionalmente se hicieron 14 jornadas adicionales de las cuales correspondieron a 6 capacitaciones internas y 8 capacitaciones no programadas con entidades distritales.</t>
  </si>
  <si>
    <t>T1: 1. A 31 de enero se adelantó en la formulación del Plan de Fortalecimiento Institucional - PFI en su versión inicial y su integración con el plan de acción institucional, ponderada en el 0.83% de avance del mismo. 2. A 28 de febrero, los resultados indican un avance acumulado del 4.48% sobre el 4.94% programado; para el período de análisis, el avance de ejecución del mes es del 3.64% y el cumplimiento al 88.81% de las actividades programadas para el mismo. 3. A 31 de marzo, los resultados indican un avance acumulado del 17.05% sobre el 18.10% programado; para el período de análisis, el avance de ejecución del mes es del 12.58% y el cumplimiento al 95.60% de las actividades programadas para el mismo.
T2: 1. A 30 de abril los resultados indican un avance acumulado del 28.57% sobre el 29.35% programado y cumplimiento del 97.34%; para el período de análisis, el avance de ejecución es del 11.51% sobre el 11.25% programado para el mes, lo que significa un nivel de cumplimiento del 102.25%. 2. A 31 de mayo los resultados indican un avance acumulado del 38.44% sobre el 40.60% programado y cumplimiento del 94.67%; para el período de análisis, el avance de ejecución es del 9.87% sobre el 11.25% programado para el mes, lo que significa un nivel de cumplimiento del 87.74%. 3. A 30 de junio, los resultados indican un avance acumulado del 53.76% sobre el 54.61% programado y cumplimiento del 98.44%; para el período de análisis, el avance de ejecución es del 15.32% sobre el 13.39% programado para el mes, lo que significa un nivel de cumplimiento del 114.43%; esto como consecuencia de avances en actividades que no estaban programadas para el mes por parte de control interno, así como a la finalización de actividades de talento humano.
T3: 1. A 31 de julio los resultados indican un avance acumulado del 64.16% sobre el 63.06% programado y cumplimiento del 101.75%; para el período de análisis, el avance de ejecución es del 10.40% sobre el 8.44% programado para el mes, lo que significa un nivel de cumplimiento del 123.16%; esto como consecuencia de avances y finalización de actividades que no estaban programadas para el mes por parte de control interno, en el ejercicio de evaluación independiente al sistema de control interno, así como en la actualización del manual de auditorías. 2. A 31 de Agosto los resultados indican un avance acumulado del 74.44% sobre el 74.95% programado y cumplimiento del 99.32%; para el período de análisis, el avance de ejecución es del 10.28% sobre el 11.89% programado para el mes, lo que significa un nivel de cumplimiento del 86.46%; Para el período se presentaron cumplimientos avances superiores de lo planeado en actividades relacionadas con el manual del MIPG, matrices de riesgos y avances en la actualización del modelo de operación por procesos. 3. A 30 de septiembre los resultados indican un avance acumulado del 82.13% sobre el 85.05% programado y cumplimiento del 99.57%; para el período de análisis, el avance de ejecución es del 7.68% sobre el 7.80% programado para el mes, lo que significa un nivel de cumplimiento del 98.53%; Para el período se presentan rezagos menores en las actividades relacionadas con la adopción de lineamientos de lenguaje claro, por parte de servicio al ciudadano, que no se adelantaron en el mes analizado, pero que aún cuentan con programación.
T4: 1. A 31 de octubre, los resultados indican un avance acumulado del 87.76% sobre el 91.03% programado y cumplimiento del 96.41%; para el período de análisis, el avance de ejecución es del 5.64% sobre el 5.98% programado para el mes, lo que significa un nivel de cumplimiento del 94.23%; Para el período se presentan rezagos menores en las actividades relacionadas con la adopción de lineamientos de lenguaje claro, por parte de servicio al ciudadano, así como en la implementación de la Política de Gestión Documental, que presentaron avances inferiores a lo programado en el mes analizado, pero que aún cuentan con programación para avanzar en el resto de la vigencia sin contratiempos. 2. A 30 de Noviembre los resultados indican un avance acumulado del 94.02% sobre el 95.17% programado y cumplimiento del 98.79%; para el período de análisis, el avance de ejecución es del 6.26% sobre el 4.14% programado para el mes. El sobrecumplimiento en el período se debe a que hubo reporte de avance en acciones que presentaban rezago en períodos anteriores y que no contaban con programación para el mes. Esto evidencia las gestiones de las áreas en dar cumplimiento a los compromisos pendientes para llevar a buen término lo definido en el PFI, principalmente en las siguientes acciones: 3.1 - Protocolos para la idoneidad de candidatos en puestos de planta, 5.7 - Guía de lenguaje claro, 7.3 - Normograma y 8.1 - Política de gestión del conocimiento y la innovación. 3. A diciembre 31 los resultados indican para el cierre de la vigencia un avance acumulado del 98.63% sobre el 100% programado; para el período de análisis, el avance de ejecución es del 4.64% sobre el 4.83% programado para el mes. Se observa en general el cumplimiento por parte de todas las áreas en las actividades programadas en el plan de fortalecimiento institucional. El rezago al cierre de la vigencia es mínimo (1.37%), teniendo en cuenta que las actividades que no completaron el 100% de cumplimiento quedaron muy cerca de su finalización; para dichas actividades se evaluará con las áreas responsables su culminación, con el fin de determinar si deben priorizarse y continuar en la formulación 2022.</t>
  </si>
  <si>
    <t>T1: En el mes de marzo se realizó la publicación en la intranet de la herramienta de cronograma de informes de planeación, para dicho mes se realizó el análisis de la presentación de informes del trimestre analizando el cumplimento respectivo, es preciso aclarar que para el reporte de marzo se presentó un sobre cumplimiento debido a que se presentó un informe que tenía retrasos y estaba programado para ser enviado en el mes de febrero. Así mismo se presentó el balance de informes ante la gerencia a través del documento Plantilla de presentación MARZO 2021, se adjuntan los soportes correspondientes en el drive. 
T2: Durante el segundo trimestre del año se dio cumplimiento al 92% de la totalidad de reportes programados realizando los respectivos seguimiento a los proyectos de inversión en SEGPLAN y SPI, dando cumplimiento al seguimiento de la ejecución de los recursos suministrados por el FUTIC para la generación de contenidos, reportando la información se avance en materia de políticas públicas, realizando los seguimientos a los indicadores institucionales y presentando los informes de gestión ambiental asociados con gestión de residuos y movilidad sostenible. Se presentaron retrasos en el desarrollo dele ejercicio de autoevaluación institucional que se realizará en el mes de agosto así como en la actualización del Plan de Acción Institucional que se realizó en el mes de julio.
T3: Respecto a la acción de reportes se cumplió al 100% con la programación establecida en el cronograma de segunda línea de defensa a cargo de planeación, en este sentido se adelantaron los reportes de ejecución de recursos FUTIC, los informes de gestión ambiental en el marco del PIGA, los reportes de ejecución de los proyectos de inversión bajo las dos metodologías definidas (SEGPLAN y SPI) así como el proceso de actualización de los riesgos institucionales tanto de gestión como de corrupción así como la actualización del Plan Anticorrupción y de Atención al Ciudadano de la entidad. 
T4: En lo corrido del cuarto trimestre del año se cumplió con el 100% de los compromisos asociados con la presentación de informes de gestión en el marco de la segunda línea de defensa liderada por Planeación. Para el periodo de seguimientos a los proyectos de inversión a través de las diferentes plataformas disponibles (SEGPLAN y SPI), así mismo, se dio continuidad al seguimiento y presentación de informes de la ejecución de recursos suministrado por el FUTIC, se realizaron los seguimientos a la implementación de las diferentes políticas públicas así como al plan de acción institucional, al PIGA, al Plan de Fortalecimiento Institucional y el monitoreo de los riesgos institucionales.</t>
  </si>
  <si>
    <t>T1: El PAA tuvo varias modificaciones con respecto al presupuesto aprobado en 2020, debido al ajuste que se hizo por el resultado de las cuentas por pagar, estos recursos  se volverán a incorporar cuando se libere la disponibilidad, más adelante tuvo otra modificación por congelamiento de recursos de Hacienda. Pero igualmente se ha venido cumpliendo con los cronogramas de contratación  y con corte al primer trimestre tenemos por grandes rubros la siguiente ejecución: Funcionamiento con un 64.2%, teniendo en cuenta que no se incluyen los gastos de nómina, impuestos, servicios públicos ni cajas menores. Operación con un 52.9% e Inversión con el 36% de ejecución para un total del 48.4% de ejecución en el primer trimestre. De todos modos se debe tener en cuenta lo de las disminuciones de recursos, lo cual al incorporarlos cambiarán estos porcentajes.
T2: En el trimestre el PAA tuvo varias modificaciones con respecto al presupuesto aprobado en 2020, ya se liberó la disponibilidad y se ajustó el rubro de inversión, por otra parte, también se realizaron traslados internos, para ajustar las adquisiciones a los rubros donde se ajustan de acuerdo con el nuevo catálogo de cuentas. La contratación se ha desarrollado de acuerdo con los cronogramas quedando de la siguiente manera: Funcionamiento 80.3%, Operación 62.0% e Inversión 57.4%
T3: En el trimestre  se realizaron ajustes al PAA de acuerdo con las modificaciones al plan de inversión del Futic, así como a los demás rubros del área operativa. Por otra parte, se realizaron traslados internos para realizar adquisiciones o contrataciones en rubros con saldo insuficiente en funcionamiento, debido al cumplimiento del pago de las sentencias. En general la contratación se ha llevado a cabo de acuerdo con lo planeado y con los ajustes mencionados quedando de la siguiente forma: Funcionamiento 93,0%, Operación 86,0% e Inversión 73,9%. 
T4: Para el último trimestre, se ajustó el PAA de acuerdo con la modificación el plan de inversiones del Futic, la cual incluyó ajustes en el cronograma de contratación, también se realizaron ajustes por contratación derivada de contratos interadministrativos y necesidades de contratación que requirieron de traslados internos, los cuales fueron incluidos en el PAA. Se concluye que la ejecución del PAA fue buena llegando a un 95,24% de cumplimiento, distribuida de la siguiente forma: Funcionamiento 95,9%, Operación 97,9% e Inversión 90,8%.</t>
  </si>
  <si>
    <t>T1: Con corte al 31 de marzo, y de los dos reportes que se deben entregar, se avanzó en un informe trimestral que da cuenta del trabajo realizado por Comunicaciones Estratégicas en cuanto al relacionamiento con entidades públicas y privadas del sector cultural, lo cual da como resultado: 2 Alianzas con entidades de gobierno nacional y/o privadas. 2 apoyo en divulgación por parte del sector cultura. 1 acercamiento con evento/entidad del sector audiovisual.3 acercamiento con evento/entidad del sector privado. 
T2: Con corte al 30 de junio, se avanzó en tres informes mensuales que da cuenta del trabajo realizado por Comunicaciones Estratégicas en cuanto al relacionamiento con entidades públicas y privadas del sector cultural, lo cual da como resultado:                                                                                                                                                                                                                                                                                                                                                           6 Alianzas con entidades de gobierno nacional y/o privadas. 2 Apoyos en divulgación por parte del sector cultura. 2 Acercamientos con evento/entidad del sector privado. Acercamientos con evento/entidad del sector audiovisual.
T3: Con corte al 30 de septiembre, se avanzó en tres informes mensuales que da cuenta del trabajo realizado por Comunicaciones Estratégicas en cuanto al relacionamiento con entidades públicas y privadas del sector cultural, lo cual da como resultado: 3 Acercamientos con evento/entidad del sector público. 7 Acercamientos con evento/entidad del sector privado. 8 Acercamientos con evento/entidad del sector audiovisual. 1 Acercamiento con evento/entidad sin ánimo de lucro. 1 Alianza con evento/entidad del sector universitario.
T4: Con corte al 31 de diciembre, se avanzó en tres informes mensuales que da cuenta del trabajo realizado por Comunicaciones Estratégicas en cuanto al relacionamiento con entidades públicas y privadas del sector cultural, lo cual da como resultado: 1 Apoyo en divulgación al sector cultura. 3 Acercamientos con evento/entidad del sector privado. 5 Acercamientos con evento/entidad del sector audiovisual.</t>
  </si>
  <si>
    <t>T1: Durante el primer trimestre se realizaron ocho boletines de prensa:  segunda temporada de Frente al Espejo, Historias de Pandemia, Nominados Premios India Catalina, Deportes a Motor, lanzamientos series en abril, ¡No Exageres Enzo!, Frente Al Espejo grana premio India Catalina y nota especial de Frente Al Espejo para El Espectador Logros: 82 impactos en medios de comunicación a nivel nacional, en prensa escrita, radio e internet. De acuerdo a un rastreo artesanal pues no se cuenta con el servicio de Monitoreo de medios, que permita conocer el alcance real de la gestión. En alianzas se destacan: 2 Alianzas con entidades de gobierno nacional y/o privadas - 1 apoyo en divulgación por parte del sector cultura - 3 acercamientos con evento/entidad del sector privado. 
T2: Durante el segundo trimestre del año en curso los logros fueron los siguientes: 85 impactos en medios de comunicación a nivel nacional, en prensa escrita, radio e internet. De acuerdo a un rastreo artesanal pues no se cuenta con el servicio de Monitoreo de medios, que permita conocer el alcance real de la gestión.
T3: Durante el tercer trimestre del año en curso los logros fueron los siguientes: 107 impactos en medios de comunicación a nivel nacional, en prensa escrita, radio e internet. De acuerdo a un rastreo artesanal pues no se cuenta con el servicio de Monitoreo de medios, que permita conocer el alcance real de la gestión.
T4: Durante el cuarto trimestre del año en curso los logros fueron los siguientes: 57 impactos en medios de comunicación a nivel nacional, en prensa escrita, radio e internet. De acuerdo a un rastreo artesanal pues no se cuenta con el servicio de Monitoreo de medios, que permita conocer el alcance real de la gestión.</t>
  </si>
  <si>
    <t>T1: En el primer trimestre de 2021 no se realizó una intervención o cambio a algún medio de comunicación interno por no contar con el recurso humano para hacerlo. Al ingresar la nueva persona y la nueva coordinadora de área seguramente se realizará alguna acción a este respecto. Por el momento se continua con los medios: Intranet, Comunicado Interno, Boletín Interno, Conexión Gerencial, Agéndate y Chat Capital Comunica.
T2: En el segundo trimestre de 2021 se realizó la intervención de los medios de comunicación interna en el Boletín Interno y el chat Capital Comunica.
T3: En el tercer trimestre de 2021 se realizó la intervención de los medios de comunicación interna como: la Intranet, Comunicado Interno, Boletín Interno, Bienestar Capital, Agéndate y Chat Capital Comunica.
T4: En el cuarto trimestre de 2021 se realizó la intervención de los medios de comunicación interna como: Comunicado Interno, Boletín Interno, Agéndate y Chat Capital Comunica.</t>
  </si>
  <si>
    <t>T1: Han solicitado desde el área de Recursos Humanos incluir los valores de Capital en cada edición del Boletín Interno, acción que se ha realizado en el transcurso del año en los 7 Boletines Internos compartidos hasta el momento, así como información de interés para los colaboradores de Capital.
T2: Han solicitado desde el área de Recursos Humanos incluir los valores de Capital en cada edición del Boletín Interno, acción que se ha realizado en el transcurso del segundo trimestre en los  12 Boletines Internos compartidos hasta el momento, así como información de interés para los colaboradores de Capital.
T3: Han solicitado desde el área de Recursos Humanos incluir los valores de Capital en cada edición del Boletín Interno, acción que se ha realizado en el transcurso del tercer trimestre en los 13 Boletines Internos compartidos, así como información de interés para los colaboradores de Capital.
T4: Han solicitado desde el área de Recursos Humanos incluir los valores de Capital en cada edición del Boletín Interno, acción que se ha realizado en el transcurso del cuarto trimestre en los 12 Boletines Internos compartidos, así como información de interés para los colaboradores de Capital.</t>
  </si>
  <si>
    <t>T1: Con relación a la Campaña de Bioseguridad se realizaron, con corte al 31 de marzo, cuatro (4) publicaciones en el Boletín Interno y se compartieron en el chat de Capital Comunica dos (2) videos y una (1) piezas sobre puntos de  tomas de muestras Covd-19 al presentarse el 3er pico de la pandemia.
T2: Con relación a la Campaña de Bioseguridad se realizaron, con corte al 30 de junio, ocho (8) publicaciones en el Boletín Interno y se compartieron en el chat de Capital Comunica un (1) video y cuatro (4) piezas de campañas o información relevante respecto a temas de bioseguridad y vacunación para el Covid-19.
T3: Con relación a la Campaña de Bioseguridad se realizaron, con corte al 30 de septiembre, 13 publicaciones en el Boletín Interno y se compartieron en el chat de Capital Comunica un 9 piezas de campañas o información relevante respecto a temas de bioseguridad y vacunación para el Covid-19.
T4: Con relación a la Campaña de Bioseguridad se realizaron, con corte al 31 de diciembre, 12 publicaciones en el Boletín Interno y se compartieron en el chat de Capital Comunica un 4 mensajes de campañas o información relevante respecto a temas de bioseguridad y vacunación para el Covid-19.</t>
  </si>
  <si>
    <t>T1: Con corte parcial al 31 de marzo se apoyaron dos campañas: PIGA (reciclaje y uso eficiente de la energía) y Seguridad Informática (Robo de datos personales, correos maliciosos, mensaje de estafa y alerta de seguridad).
T2: Para el segundo trimestre del año en curso se apoyaron tres campañas: PIGA  (semana ambiental) a través de dos boletines y tres comunicaciones en el chat de Capital comunica; protocolo interno para manejo de situaciones de acoso sexual y laboral a través de un boletín, un comunicado y una comunicación en el chat de Capital comunica; y senda integridad (valores institucionales) a través de nueve boletines.
T3: Para el tercer trimestre del año en curso se apoyaron tres campañas: PIGA a través de ocho boletines y dos comunicaciones en el chat de Capital comunica; protocolo interno para manejo de situaciones de acoso sexual y laboral a través de  dos boletines; senda integridad a través de 5 boletines y tres comunicaciones en el Chat Capital comunica; y semana de la bicicleta a través de 3 boletines y dos comunicaciones en el Chat Capital comunica.
T4: Para el tercer trimestre del año en curso se apoyaron tres campañas: PIGA a través de dos boletines y dos comunicaciones en el chat de Capital comunica; protocolo interno para manejo de situaciones de acoso sexual y laboral a través de dos boletines; salud mental a través de cinco boletines internos ; y semana de la bicicleta a través de 3 boletines y una comunicación en el Chat Capital comunica.</t>
  </si>
  <si>
    <t>T1: Numerador Presupuesto asignado a llamados públicos $3.545.000.000 según plan de adquisiciones incluyendo las convocatorias abiertas. Denominador $12.099.965.328 presupuesto dirección operativa. De acuerdo con esta información se concluye que a la fecha se cuenta con un cumplimiento del indicador del 29%, estando esto dentro del rango de meta establecido para este indicador.
T2: Numerador: Con corte al mes de junio de 2021 se ha realizado la gestión contractual equivalente a $ 2.177.947.917 representados en las siguientes contrataciones: *proveedor TAYFERCABEZA valor del contrato: $519.969.429 *proveedor UT LFP  valor del contrato:$ 519.978.488 *proveedor LA PIRAGNA EPICA  valor del contrato:$ 618.000.000 *proveedor FILMAWA SAS  valor del contrato:$ 520.000.000. Presupuesto asignado a llamados públicos total es de $ 3.359.147.917 según plan de adquisiciones incluyendo las convocatorias abiertas, para el segundo semestre de 2021 se esperar realizar la gestión correspondiente a la adjudicación de $1.181.200.000 Nota aclaratoria: El presupuesto inicial asignado fue de $ 3.545.000.000, para el segundo trimestre se han realizado ajustes en el presupuesto debido a razones tales como: Los valores contratados han tenido modificaciones, Los procesos abiertos han quedo desiertos o no se ha dado aval a la contratación. Todo lo anterior hace que la cifra del numerador tenga un ajuste quedando así: $3.359.147.917. Denominador: $12.099.965.328 presupuesto dirección operativa. De acuerdo con esta información se concluye que a la fecha se cuenta con un cumplimiento del indicador del 27,7%, estando esto dentro del rango de meta establecido para este indicador.
T3: Numerador: Con corte al mes de septiembre de 2021 se ha realizado la gestión contractual equivalente a $ 2.916.947.917 representados en las siguientes contrataciones: *proveedor TAYFERCABEZA valor del contrato: $519.969.429 *proveedor UT LFP  valor del contrato:$ 519.978.488 *proveedor LA PIRAGNA EPICA  valor del contrato:$ 618.000.000 *proveedor FILMAWA SAS  valor del contrato:$ 520.000.000 *proveedor GUOQUITOQUI SAS valor del contrato: $260.000.000 *proveedor DIECISÉIS 9 FILMS SAS valor del contrato: $260.000.000 *proveedor RAFAEL POVEDA TELEVISIÓN- mesa capital valor del contrato: $219.000.000. Presupuesto asignado a llamados públicos total es de $ 3.347.147.917 según plan de adquisiciones incluyendo las convocatorias abiertas, para el cuarto trimestre de 2021 se esperar realizar la gestión correspondiente a la adjudicación de $ 430.000.000. Denominador El presupuesto inicial asignado para las producciones de dirección operativa fue de $12.099.965.328, sin embargo, para este periodo este valor ha sido ajustado a $8,558,626,628, por lo anterior. La entidad a través de la alta dirección, decidió aumentar en 5% los gastos de funcionamiento cubiertos por el plan de inversión del FUTIC, así mismo, respecto a los recursos hacienda la alta dirección decidió aumentar el cupo para el gasto de la venta generando la disminución del presupuesto para la producción de contenidos, afectando la variable "Presupuesto total para la producción de contenidos propios recursos hacienda y FuTic plan de inversión" y por ende el resultado del indicador, es por esto que el peso (respecto a la relación matemática del indicador) de los llamados públicos de creación con sector audiovisual local, aumentó respecto a lo que se había planeado inicialmente. 
De acuerdo con esta información se concluye que a la fecha se cuenta con un cumplimiento del indicador del 39,1%, superando el rango de meta establecido para este indicador. Se analizará el comportamiento en lo que queda de la vigencia y se solicitará asesoría por parte de Planeación, para conocer los pasos a seguir, respecto a este aumento en el cumplimiento y solicitar los cambios en la meta.
T4: Numerador: Con corte a 31 de diciembre de 2021 se ha realizado la gestión contractual equivalente a $ 2.916.947.917 representados en las siguientes contrataciones: *proveedor TAYFERCABEZA valor del contrato: $519.969.429 *proveedor UT LFP - BLANCO FILMS SA valor del contrato:$ 519.978.488 *proveedor LA PIRAGNA EPICA - DILETANTE SAS valor del contrato:$ 618.000.000 *proveedor FILMAWA SAS  valor del contrato:$ 520.000.000 *proveedor GUOQUITOQUI SAS valor del contrato: $260.000.000 *proveedor DIECISÉIS 9 FILMS SAS valor del contrato: $260.000.000 *proveedor RAFAEL POVEDA TELEVISIÓN- mesa capital valor del contrato: $219.000.000 *proveedor METRO TELEVISIÓN, INCOMSA Y PRECIOSA MEDIA por adquisición de derechos $178.223.106. El presupuesto asignado a llamados públicos total durante la vigencia 2021 fue de $ 3.095.371.070 según plan de adquisiciones; en el cuarto trimestre de 2021 se realizó la gestión correspondiente a la adjudicación de $ 178.223.106 por adquisición de derechos. Denominador: El presupuesto inicial asignado para las producciones de dirección operativa fue de $12.099.965.328, el cual fue ajustado en el tercer trimestre del año $ 8´547.885.514. Resultado: El resultado alcanzado en el cuatro trimestre fue de 36,2% valor que se encuentra en el rango de cumplimiento establecido por la dirección operativa a partir del segundo semestre del año, fecha en la que fue necesario solicitar el ajuste de la meta debido por cambios presupuestales realizados por la alta dirección. Los resultados alcanzados a lo largo del año y de acuerdo con los rangos definidos, tanto para el primer como para el segundo semestre, no superaron los limites definidos como meta, por lo que se concluye que el indicador tuvo una dinámica normal y de cumplimiento de acuerdo con lo planeado. Al establecer un rango se determinó que el resultado debía estar dentro de los parámetros y no necesariamente alcanzar el tope superior, por cuanto las condiciones contractuales y jurídicas pueden ocasionar variaciones en el proceso de adquisición, así como las condiciones del mercado. Todo lo anterior permite inferior un cumplimiento del indicador para el trimestre de reporte y para la vigencia.</t>
  </si>
  <si>
    <t>T1: Los anteriores datos son tomados del informe entregado trimestralmente a la CRC. De acuerdo con la información se puede concluir que en el primer trimestre 2020 se realizó un aporte del 17% de contenido infantil y adolescente respecto al total de la parrilla de programación del periodo de medición. El resultado alcanzado se encuentra dentro del rango de meta propuesta por lo que se concluye que se ha cumplido con el resultado esperado para el periodo de medición teniendo en cuenta que la programación infantil y juvenil se siguió emitiendo en los horarios establecidos.
T2: Los datos entregados hacen parte del informe entregado trimestralmente a la Comisión de Regulación de Comunicaciones. La información permite concluir que en el segundo trimestre de 2021 se realizó un aporte del 29,8 % de contenido infantil y adolescente respecto al total de la parrilla de programación del periodo estipulado, que se mide entre 6:00 a.m. y 12:00 p.m. Las cifras alcanzadas se encuentran dentro del rango de meta propuesto, habida cuenta de que la programación infantil y adolescente dio continuidad a los horarios establecidos en el trimestre anterior.
T3: Los datos reportados hacen parte del informe entregado trimestralmente a la Comisión de Regulación de Comunicaciones. La información permite concluir que en el tercer trimestre de 2021 se realizó un aporte del 23,13 % de contenido infantil y adolescente respecto al total de la parrilla de programación del periodo, que se mide entre 6:00 a.m. y 12:00 p.m. Las cifras alcanzadas se encuentran dentro del rango de meta propuesto, si bien la programación infantil tuvo una reducción significativa en este trimestre, habida cuenta de cambios en la parrilla de programación: desde agosto la franja Eureka dejó de emitirse entre semana en las mañanas, y desde mediados del mismo mes comenzó a emitirse en fines de semana. Estos cambios responden a una gran apuesta de Capital Sistema de Medios Públicos: la creación de eureka, tu canal, frecuencia TDT que tiene programación 24 horas al día, siete días a la semana dedicada a públicos infantil y adolescente. De tal suerte, es probable que propongamos que las metas del presente indicador sean ajustadas.
T4: Los datos reportados hacen parte del informe entregado trimestralmente a la Comisión de Regulación de Comunicaciones (CRC). La información permite concluir que en el cuarto trimestre de 2021 se realizó un aporte del 23,16 % de contenido infantil y adolescente respecto a la parrilla de programación del periodo, que se mide entre 6:00 a.m. y 12:00 p.m. Las cifras alcanzadas se encuentran dentro del rango de meta propuesta. Además, son muy similares al trimestre anterior, porque se mantuvo la estrategia del lanzamiento del canal eureka, que se emite en TDT y el cableoperador ETB, en cuanto a intensidad horaria de los contenidos infantiles y juveniles. Se concluye que los resultados planeados para la vigencia fueron alcanzados, dado que se cumplió con el rango porcentual definido en torno al aporte de los contenidos infantiles y adolescentes dentro de la parrilla de programación de la pantalla principal. Nota: En el primer trimestre de 2021 el resultado fue el 17 % en virtud de que en esa primera medición el rango que se había establecido era inferior al que se propuso a partir del segundo trimestre del año.</t>
  </si>
  <si>
    <t>T1: Se ha dado inicio a la etapa de diseño de los proyectos asociados al cumplimiento de este indicador, para dar cuenta de lo anterior se han realizado las siguientes acciones: 1. Se ha estructurado la propuesta de alianza de Capital con la fundación SOLE Colombia 2. Se ha estructurado la "formulación creativa"  del proyecto "TODOS SOMOS CUIDADANOS" Estas acciones representa el 25 % del avance del total de la estrategia para cumplir a lo largo de 2021. Por lo anterior se da cuenta del cumplimiento del indicador respecto a lo establecido para el trimestre, sin anomalías.
T2: Durante el trimestre se realizaron avance en cuanto a las acciones precontractuales pertinentes a la gestión del proyecto "TODOS SOMOS CUIDADANOS", estas acciones representa el 25 % del avance del total de la estrategia determinada para la  vigencia 2021. Por lo anterior se concluye que se ha alcanzado el resultado esperando. Nota aclaratoria: *Se ha presentado como anomalía que pese a los avances precontractuales reportados, por decisiones administrativas, fue necesario suspender el proceso el cual, según la instrucción, se reactivaría en el mes de julio de 2021 tiempo en el que se presentarán al comité de contratación los estudios previos diseñados para aval y de esta manera continuar con la actividad propuesta.* Se notificó a planeación sobre la necesidad de desvincular del reporte a la alianza gestionada con la fundación SOLE Colombia ya que por decisiones presupuestales no fue viable su realización para esta vigencia
T3: El proyecto CUIDADANOS (antes denominado TODOS SOMOS CUIDADANOS) viene adelantando desde inicios de septiembre el llamado a participar a la ciudadanía en la actividad denominada “Director por un Día” a través de piezas promocionales y un tutorial que guía a los interesados en hacer un trabajo colaborativo de registro y narración de eventos, personajes y situaciones relevantes de la vida cotidiana de la ciudad junto con el equipo del programa.  Paralelamente se adelantó el proceso de selección para la empresa de producción que se hará cargo de la administración delegada del recurso para la producción del proyecto. Por otro lado, se adelantaron las contrataciones del director, productor e investigador, así como de gráfico y músico para avanzar en las tareas correspondientes al ajuste de formato para 2021, diseño de paquete gráfico, piezas musicales originales y de investigaciones de las piezas. Con base en la información inicialmente rastreada se escribieron los guiones y grabaron los pilotos de director por un Día y Videografías Cuidadanas.
T4: En el cuarto trimestre de 2021 el proyecto CUIDADANOS (antes denominado TODOS SOMOS CUIDADANOS) tuvo los siguientes resultados: 1. Inicio del contrato con administración delegada y seguimiento de la ejecución del proyecto 2. Contratación equipo humano en el marco de la administración delegada y seguimiento a los contratistas de la administración delegada y Canal 3. Desarrollo de investigación y guion asociado a "director por un día", videografías cuidadanas y especiales 4. Etapa de producción y postproducción 5. Circulación, la cual de acuerdo al plan de trabajo establecido para la vigencia corresponde al preestreno de los capítulos aprobados. Nota: La circulación de los contenidos generados en el marco del proyecto continuarán en 2022. Con base en lo anterior se ha cumplido el 25 % establecido para el cuatro trimestre de 2021 y se ha alcanzado 100 % de cumplimiento.</t>
  </si>
  <si>
    <t>T1: Para el primer trimestre del año 2021 el equipo de proyectos estratégicos y comunicación pública planteo como meta parcial de cumplimiento del indicador un 10% de avance en la ejecución de actividades de gestión, de acuerdo con lo anterior se obtuvieron los siguientes resultados: 1. Diseño Plan de posicionamiento y gestión de recursos de Capital y de Eureka: Se diseñó al 100% el plan y se efectuaron las acciones de socialización al interior del equipo, esta actividad tiene una ponderación de 10% de aporte al total de la estrategia. 2. Ejecución Plan de posicionamiento y gestión de recursos de Capital y de Eureka, capítulo gestión: Las actividades de ejecución plan se inician en el mes de abril de 2021. Por lo anterior se concluye que el indicador ha alcanzado el cumplimiento propuesto por el equipo de proyectos estratégicos y comunicación pública para el trimestre.
T2: Para el segundo trimestre del año 2021 el equipo de proyectos estratégicos y comunicación pública planteó como meta parcial de cumplimiento del indicador un 37% según lo planteado en el Plan de posicionamiento y gestión de recursos de Capital y de Eureka, de acuerdo con lo anterior se obtuvieron los siguientes resultados: 1. Para el componente 1: 39% ejecutado, 18% en ejecución y un 43% por iniciar su gestión 2. Para el componente 2: 55% ejecutado, 33% en ejecución y un 13% por iniciar su gestión. Por lo anterior se concluye que el indicador ha alcanzado el cumplimiento propuesto por el equipo de proyectos estratégicos y comunicación pública para el trimestre.
T3: Para el tercer trimestre del año 2021 el equipo de proyectos estratégicos y comunicación pública planteó como meta parcial de cumplimiento del indicador un 34,5% según lo planteado en el Plan de posicionamiento y gestión de recursos de Capital y de Eureka, de acuerdo con lo anterior se obtuvieron los siguientes resultados: 1. Para el componente 1: 74% ejecutado, 26% en ejecución y un 0% por iniciar su gestión 2. Para el componente 2: 90% ejecutado, 10% en ejecución y 0% por iniciar su gestión Por lo anterior se concluye que el indicador ha alcanzado un avance anual del 81.5% de cumplimiento, el cual esta acorde a lo propuesto por el equipo de proyectos estratégicos y comunicación pública para la vigencia y el trimestre de análisis.
T4: El equipo de proyectos estratégicos y comunicación pública ha ejecutado el 100% del Plan de posicionamiento y gestión de recursos de Capital y de Eureka establecido para la vigencia 2021. No se presentaron anomalías en su ejecución.
Respecto al resultado del último trimestre se obtuvieron los siguientes resultados: 1. Para el componente 1: el porcentaje de actividades calificadas en la categoría "ejecutado" son del 100 %, por ende las dos categorías restantes, es decir "En ejecución" y "Por iniciar su gestión" corresponden al 0 % 2. Para el componente 2: el porcentaje de actividades calificadas en la categoría "ejecutado" son del 100 %, por ende las dos categorías restantes, es decir "En ejecución" y "Por iniciar su gestión" corresponden al 0 % En total el aporte del ultimo trimestre al cumplimiento total de la vigencia correspondió a 18%. Nota: Para la medición de cada componente, el equipo de proyectos estratégicos y comunicación pública ha definido tres (3) etapas para la medición del avance de cada componente: *Ejecutado: corresponde a las acciones que se han realizado al 100% durante el periodo de reporte. *En Ejecución: corresponde a las acciones que se iniciaron en el periodo de reporte y aun se encuentran en curso para su ejecución. *Por iniciar su gestión: corresponde a las acciones que, de acuerdo con el Plan de Posicionamiento, aun no deben iniciar.</t>
  </si>
  <si>
    <t>T1: Para el primer trimestre se suscribieron 10 contratos de los cuales el total de estos cuenta con un Fee mínimo del 8,5% del valor total de contrato.
T2: Para el segundo trimestre se suscribieron 7 contratos de los cuales 6 cuentan con un Fee mínimo del 8,5% del valor total de contrato.
T3: Para el tercer trimestre se suscribieron 23 contratos de los cuales 23 cuentan con un Fee mínimo del 8,5% del valor total de contrato.
T4: Para el cuarto trimestre se suscribieron 21 contratos de los cuales 21 cuentan con un Fee mínimo del 8,5% del valor total de contrato. 
En total, en el marco de la estrategia de comunicación pública y proyectos estratégicos definidos para la vigencia 2021 se realizaron 62 contrataciones las cuales en un 97 % arrojaron un el Fee del 8,5 %. El 3 % restante corresponde a 3 contratos del segundo semestre del año que no obtuvieron el Fee en mención. Notas aclaratorias: 1. Los contratos suscritos por los equipos de producción no se encuentran asociados a la estrategia de comunicación pública y negocios estratégicos, por lo anterior no serán tenidos en cuenta en este reporte por cuanto el alcance definido del indicador está acotado a la estrategia en mención. 2. El contrato 460001852 establecido con la ETB, de acuerdo con la modalidad de contratación - "tipo bolsa", se ejecuta a lo largo de la vigencia, por esta razón será tenido en cuenta en los trimestres en donde se realicen actividades para su ejecución. Para efectos del reporte esta empresa será incluida como un (1) contrato a lo largo del trimestre así cuente con varias órdenes de servicios.</t>
  </si>
  <si>
    <t>T1: En el primer trimestre del año, como aporte al cumplimiento de este indicador se avanzó en las siguientes actividades: 1. Plan de trabajo interno para el rediseño de página web y optimización del canal de YouTube de capital 2. Gestión precontractual del proveedor del servicio de rediseño de la página web Estas actividades representan el 25% de aporte al indicador para la vigencia, por lo anterior se considera cumplido el avance para el trimestre de acuerdo a lo estimado.
T2: En el Segundo trimestre del año, como aporte al cumplimiento de este indicador se avanzó en las siguientes actividades: 1.  Se realizó el proceso de validación de la documentación de la Agencia Aguayo en cuanto a los requisitos solicitados, experiencia, certificación de experiencia en el desarrollo de actividades relacionadas con el objeto a contratar para su posterior firma del contrato. 2. Desde el mes de abril empezó la ejecución del back optimización de YouTube. Esta optimización consiste en la revisión del  estado previo del contenido que ya estaba subido en nuestro canal y su mejoramiento para mejorar el desempeño de dicho contenido en la plataforma. Dentro de este proceso también entran los contenidos nuevos que se suben al canal, pues requieren el mismo tratamiento. De abril a junio se logró optimizar 1026 videos.
T3: En el tercer trimestre del año, como aporte al cumplimiento de este indicador se avanzó en las siguientes actividades: 1. Se suscribió contrato con la Agencia Aguayo el 6 de julio, lo cual nos permitió avanzar con el cronograma que se había establecido, durante la ejecución se han realizado diferentes reuniones con las cabezas de las áreas para definir, el diseño y concepto de la página, a la fecha la Aguayo ya realizo entrega de los de Wireframes y fueron recibidos a conformidad por él encargado del proyecto. De igual Manera reportamos que con la dirección Operativa se decidió que este año solo se va a realizar la etapa de diseño de la Pagina web, por lo cual adjuntamos el nuevo cronograma. 2. La ejecución del back optimización continúa, se lograron optimizar 389 videos. Esta cifra se vio afectada por el lapso de espera para la contratación y la terminación de las prácticas de los integrantes del equipo de plataformas. Adicionalmente, se generó un documento para llevar un control sobre las playlist que se van optimizando y en qué estado están. 
T4: En el cuarto trimestre se realizaron las siguientes actividades: 1. Reuniones con los diferentes responsables de los equipos o áreas, según corresponda, para la revisión y aprobación del diseño final de la página (correo electrónico de citación o respuestas de lideres de equipos). 2. Se recibieron los diseños en la plataforma FIGMA correspondientes a la arquitectura de información y diseño según cronograma. Los resultados listados corresponden al 25 % de ejecución del proyecto cumpliendo con el avance esperado para el último trimestre del año 2021. Así mismo se concluye que el resultado área la vigencia se alcanzo en un 100 % de acuerdo con el cronograma.</t>
  </si>
  <si>
    <t>T1: En el primer trimestre de 2021 se ha tenido un avance en el edición del documento asociado al relacionamiento con las audiencias en redes sociales en un 100%, este avance representa un 25% de la ejecución del indicador, por lo anterior se considera cumplido el porcentaje establecido para el primer trimestre.
T2: En el segundo trimestre de 2021 se evidenció cómo se ha venido realizando la gestión de audiencias con dos ejemplos concretos de las actividades de participación #MiPropuesta y #MiPropuestaEs, este avance representa un 50% de la ejecución del indicador, por lo anterior se considera cumplido el porcentaje establecido para el segundo trimestre.
T3: En el tercer trimestre de 2021 se realizó un análisis detallado de caracterización de audiencias para definir de acuerdo a múltiples pilares (informativo, eureka, crónicas, opinión, digital y transmisiones) cómo estaban definidos nuestros públicos de acuerdo a cada plataforma. Este avance representa en un 75 % la ejecución de este indicador, por lo anterior, se considera cumplido el porcentaje establecido para el tercer trimestre.
T4: En el cuarto trimestre se realizó la elaboración del documento "MDCC-IN-004 PROTOCOLO DE GESTIÓN DE AUDIENCIAS", se realizó la solicitud de creación a planeación y publicación en la intranet, así mismo se realizó la socialización del documento al interior del equipo digital. Las actividades reportadas corresponden al 25 % de las actividades propuestas para la vigencia, logrando con esto el objetivo. Lo anterior permite concluir que el indicador se ha cumplido respecto a la meta trimestral y se cumplido el 100% del indicador respecto a la meta anual.</t>
  </si>
  <si>
    <t>T1: Para el periodo reportado, se realizaron las siguientes actividades acorde a la hoja de ruta programada para la ejecución del PETI 2021-2024: • Adquisición e implementación del Switch de cord: El Switch de cord fue adquirido y este se encuentra en proceso de alistamiento y puesta en marcha en la infraestructura tecnológica. • Adquisición e implementación de 7 Switch capa 3: Los switches fueron adquiridos y se encuentra en proceso de alistamiento y puesta en marcha para ser operativos. • Data center con replicación tier 2 en la sede principal: Se encuentra en proceso de implementación del canal MPLS para la interconexión entre data center calle 26 con calle 69. • Despliegue y publicación de segmentos IPV6 a nivel LAN y WAN en Capital: La implementación del protocolo de Ipv6, se encuentra en actividades de afinamiento de configuraciones por la implementación de los nuevos equipos de networking y el cambio del proveedor de conectividad. • Adquisición e implementación del sistema de seguridad perimetral firewall para alta disponibilidad: el firewall fue adquirido y se encuentra en proceso de implementación en la plataforma tecnológica de la entidad. • Desarrollar los módulos componentes del software de financiera en el marco del sistema de gestión empresarial: se realizaron procesos de levantamiento de información, análisis y se encuentra en proceso de diseño del módulo componente de software.
T2: Para el periodo reportado, se realizaron las siguientes actividades acorde a la hoja de ruta programada para la ejecución del PETI 2021-2024:• El Switch de CORE  se implementó  en redundancia y se encuentra operativo en la infraestructura tecnológica.
• Se han implementado 4 switches en la sede 1 avenida el dorado, estos se encuentran operativos en la infraestructura tecnológica. • Se implementó canal de datos de 40 Mb (MPLS) en la sede 2 (Chapinero) con interconexión a la sede 1 (Avenida el dorado), alcanzado el servicio de internet (COLUMBUS-LEVEL). • Afinamiento de reglas y políticas sobre el protocolo IPv6 en el firewall Fortinet 401E • Se implementó firewall Fortinet 401E en HA (High availability) alta disponibilidad, se encuentra operativo en la infraestructura tecnológica. Actualmente en afinamiento de reglas y políticas. • Se encuentra en proceso de desarrollo el ERP INHOUSE, el cual ya tiene habilitado en producción los módulos de pasantes, denuncias, soportes, configuración y en desarrollo se encuentran los módulos de financiera y contratos.
T3: Para el periodo reportado, se realizaron las siguientes actividades acorde a la hoja de ruta programada para la ejecución del PETI 2021: * Se dio soporte a los requerimientos e incidentes de los servicios de cableado estructurado, redes de área local (LAN), redes de área local inalámbrica (WLAN), redes de área amplia (WAN), granja de servidores, seguridad perimetral (FIREWALL) y dispositivos finales de Canal Capital. * Alistamiento, implementación y pruebas de Cuatro (4) dispositivos Access Point (APs), para acceso a red de área local inalámbrica (WLAN) o WIFI, en la sede 2 Chapinero calle 69. * Movimiento switch HPE OfficeConnect 1420 (JHO19A) con características POE, para dar corriente eléctrica a los 5 Access point (APs) de la red WLAN o WIFI, sede 1 Avenida el Dorado. * Se desplegaron servidores con el protocolo IPv4/IPv6.* Se desplegaron equipos finales sobe el protocolo IPv4/IPv6 con direccionamiento IP en la VLAN 504 2801:16:6800:200::/64. * Migración, configuración y parametrización red de área local inalámbrica (WLAN), adopción y configuración de (5) dispositivos Access Point (APs), para acceso a red de área local inalámbrica (WLAN) o WIFI, en la sede 1 avenida el dorado. * Soporte a la aplicación ORDPAGO y generación de archivos planos para bancos. * Puesta en producción del ERP del canal en el sitio de la intranet  http://intranet.canalcapital.gov.co/erp/ * Implementación de los módulos de Denuncia, Pasantes Soporte y Configuraciones generales en el ERP, para todos los usuarios teniendo en cuenta los perfiles de acceso para cada módulo.* Análisis, diseño, desarrollo, implantación e implementación del módulo de financiera con inserción y edición del anteproyecto para el próximo año, en funcionamiento en el sitio http://intranet.canalcapital.gov.co/erpc/ para pruebas y ajustes.
T4: Para el periodo reportado, se realizaron las siguientes actividades acorde a la hoja de ruta programada para la ejecución del PETI 2021: * Se dio soporte a los requerimientos e incidentes de los servicios de cableado estructurado, redes de área local (LAN), redes de área local inalámbrica (WLAN), redes de área amplia (WAN), granja de servidores, seguridad perimetral (FIREWALL) y dispositivos finales de Canal Capital.* Se estructuró de manera Jerárquica el acceso a equipos de comunicaciones del Canal Capital área Técnica. * Se configuró el acceso por http/s de equipos activos para su respectivo monitoreo área de técnica. * Se realizó el monitoreo de los equipos activos área técnica este switch corresponde al master de producción. * Se actualizó el firmware de las controladoras de la WLAN. * Soporte a la aplicación ORDPAGO y generación de archivos planos para bancos. * Se realizó desarrollo, actualización, implementación y ajustes al módulo de financiera totalmente integrado en el ERP del canal.
* Se realizó la actualización de los módulos de documentación, radicación, pasantes y soporte, en una sola base de datos. * Se realizaron ajustes y adiciones de seguridad a todos los módulos los cuales permiten minimizar el riesgo de ataques a nuestro software y bases de datos. * Se desarrolló el módulo de simulador de asignación temporales salarial para el área de recursos humanos, el cual permite simular según los honorarios actuales, el nuevo valor asignado con la temporal. Se colocaron perfiles y se integró dentro del ERP y ERPC. * Se desarrolló el módulo de preguntas y respuestas para el proceso de asignación salarial, como medio de comunicación entre el contratista y canal capital. * Se desarrolló el módulo de preguntas y respuestas para el proceso de solicitudes de derechos de autor, el cuál se llevaba en Excel de forma manual y ahora permite llevar el mismo registro digital, pero controlado por perfiles de acceso y control de la información. * Durante los meses del reporte se realizaron 8 reuniones con las áreas funcionales para el seguimiento de las funcionalidades desarrolladas.</t>
  </si>
  <si>
    <t>04 - Se realiza la armonización del plan de acción institucional a la plataforma estratégica adoptada para la entidad mediante resolución 128 de noviembre de 2021. Así mismo, se adelantan ajustes menores en estructura y redacción de las acciones e indicadores descritas en el plan de acción, de acuerdo con las observaciones recibidas en el informe de auditoría al plan de acción institucional, formulado por la Oficina de Control Interno y comunicado mediante Memorando 1104 del 27 de Octubre. Con relación a la estructura del plan, se hace un ajuste en la información asociada a liderazgo estratégico y responsables de medición, dejando solamente el cargo (no el nombre) de quienes cumplen estos roles. Sobre ajustes en las acciones, se realiza la actualización requerida por la Dirección Operativa en el indicador 1.2.1 con el ajuste en la descripción del indicador, el cambio de la meta a un rango del 25% al 40% y se incluye la observación “Se realizará la medición teniendo en cuenta intervalos de cumplimiento del 25% al 40% del presupuesto total asignado a la Dirección Operativa, será asignado a los llamados públicos”; también se ajusta el nombre del indicador 2.2.1 y se ajusta en fórmula, actividades e indicador de gestión la actividad 3.1.1, teniendo en cuenta el alcance de las actividades que se van a desarrollar en dicha acción.
Finalmente, se realiza el ajuste y traslado de la información reportada por las áreas al formato EPLE-FT-017 HOJA DE VIDA DEL INDICADOR, en el cual se incorporan las revisiones indicadas previamente sobre el Plan de Acción institucional.</t>
  </si>
  <si>
    <t>Se realiza la armonización del plan de acción institucional a la plataforma estratégica adoptada para la entidad mediante resolución 128 de noviembre de 2021. Así mismo, se adelantan ajustes menores en estructura y redacción de las acciones e indicadores descritas en el plan de acción, de acuerdo con las observaciones recibidas en el informe de auditoría al plan de acción institucional, formulado por la Oficina de Control Interno y comunicado mediante Memorando 1104 del 27 de Octubre. Con relación a la estructura del plan, se hace un ajuste en la información asociada a liderazgo estratégico y responsables de medición, dejando solamente el cargo (no el nombre) de quienes cumplen estos roles. Sobre ajustes en las acciones, se realiza la actualización requerida por la Dirección Operativa en el indicador 1.2.1 con el ajuste en la descripción del indicador, el cambio de la meta a un rango del 25% al 40% y se incluye la observación “Se realizará la medición teniendo en cuenta intervalos de cumplimiento del 25% al 40% del presupuesto total asignado a la Dirección Operativa, será asignado a los llamados públicos”; también se ajusta el nombre del indicador 2.2.1 y se ajusta en fórmula, actividades e indicador de gestión la actividad 3.1.1, teniendo en cuenta el alcance de las actividades que se van a desarrollar en dicha acción. Finalmente, se realiza el ajuste y traslado de la información reportada por las áreas al formato EPLE-FT-017 HOJA DE VIDA DEL INDICADOR, en el cual se incorporan las revisiones indicadas previamente sobre el Plan de Acción institucional.</t>
  </si>
  <si>
    <t>Con corte a 31 de diciembre de 2021, se alcanzó el cumplimiento del 52,17% teniendo en cuenta que no se adelantó el reporte de ejecución de las acciones de áreas como la Coord. Jurídica, reporte incompleto por el área Financiera y rezagos que fueron tratados en mesas de trabajo con Comunicaciones. Desde la Oficina de Control Interno se sigue trabajando en el fortalecimiento de las herramientas de reporte y de las mesas de trabajo, acompañamientos y otros para el cabal cumplimiento de lo formulado.</t>
  </si>
  <si>
    <t>T1: Dada la periodicidad cuatrimestral de medición, no aplica reporte de seguimiento con corte al 31 de marzo.
T2: Se reporta el indicador con corte al 30 de abril. Se adelantaron mesas de trabajo con las áreas que presentan retraso en el cumplimiento de las acciones del plan de mejoramiento. Se entrego a las áreas la herramienta para que efectúen el reporte permanente (solo se cierra en la fecha de seguimiento para el análisis y evaluación por parte del equipo de la Oficina de Control Interno) y cargue de evidencias correspondientes la cual se puso en conocimiento vía correo electrónico. Se ha visto una mejora en el cierre de las acciones. 
T3: Se reporta con corte a 31 de agosto. El incremento obtenido del indicador respecto al anterior reporte se da gracias a las mesas de trabajo adelantadas con las áreas gestión documental y financiera en el mes de agosto. 
T4: Con corte a 31 de diciembre de 2021, se alcanzó el cumplimiento del 52,17% teniendo en cuenta que no se adelantó el reporte de ejecución de las acciones de áreas como la Coord. Jurídica, reporte incompleto por el área Financiera y rezagos que fueron tratados en mesas de trabajo con Comunicaciones. Desde la Oficina de Control Interno se sigue trabajando en el fortalecimiento de las herramientas de reporte y de las mesas de trabajo, acompañamientos y otros para el cabal cumplimiento de lo formulado.</t>
  </si>
  <si>
    <t xml:space="preserve">Durante el tercer trimestre se llevaron a cabo encuentros con los grupos para encontrar alternativas de acción, posibilidades de productos de cara a la consolidación de los productos. Por otro lado, se avanzó en gestiones internas relacionadas con temas contractuales, contratación de equipos y definición de productos. 
Se dio cubrimiento a las fechas emblemáticas de los diferentes grupos étnicos
Se generaron contenidos en diferentes formatos para la visibilización de los grupos poblacionales tanto a nivel de Capital como a nivel de Eureka! 
El Canal cuenta con una herramienta de información interna que permite la consolidación de datos para el reporte de información, articulando la información desde diferentes dependencias que participan en los procesos de gestión de políticas públicas poblacionales y compromisos étnicos. 
Por último, de acuerdo con los requerimientos establecidos por las entidades rectoras de Política Pública y las directrices de la SCRD se atendieron los reportes trimestrales de avance para las políticas públicas de Juventud, Mujer y Equidad de Género, Actividades Sexuales Pagadas y Población LGBTI. Asimismo se atendieron los requerimientos de avance con las comunidades Afrocolombianas, Indígenas en sus distintas formas (Cabildos, Autoridades Bakatá, Cabildo Muisca de Bosa, Palenqueros, Raizales y Población ROM. </t>
  </si>
  <si>
    <t>T1: En el marco de esta acción se asistió a las reuniones programadas de manera sectorial con las comunidades Afrocolombianas, Indígenas en sus distintas formas (Cabildos, Autoridades Bakatá, Cabildo Muisca de Bosa y Comunidad Embera), Palenqueros y Raizales. Asimismo, se adelantó y medió la reunión con la dirección operativa y el área de proyectos estratégicos con las comunidades Afrocolombianas, e Indígenas cabildades y pertenecientes a las autoridades Bakatá. 
En lo concerniente a seguimientos, se llevó a cabo la consolidación de información y reporte de las matrices PIAA 2021 I Trimestre que agrupan a todas las comunidades étnicas, así como el reporte de avance de implementación de compromisos con las autoridades indígenas del Cabildo Muisca de Bosa. En lo que respecta a las políticas públicas poblacionales, se realizaron reporten correspondientes a la política de Mujer y Equidad de Género, Actividades Sexuales Pagadas, Población LGBTI y Fenómeno de Habitabilidad en Calle. 
T2: En el marco de está acción se han adelantado los contactos y reuniones pertinentes con las diferentes comunidades étnicas de acuerdo con lo establecido en los PIAA 2021. Asimismo se han atendido los requerimientos de información y reportes de implementación de los PIAA, Política de Mujer y Equidad y Género, Política de Juventud, Política de Actividades Sexuales Pagadas y compromisos en el marco del enfoque de transversalización de género. 
T3: Durante el tercer trimestre se llevaron a cabo encuentros con los grupos para encontrar alternativas de acción, posibilidades de productos de cara a la consolidación de los productos. Por otro lado, se avanzó en gestiones internas relacionadas con temas contractuales, contratación de equipos y definición de productos. Se dio cubrimiento a las fechas emblemáticas de los diferentes grupos étnicos. Se generaron contenidos en diferentes formatos para la visibilización de los grupos poblacionales tanto a nivel de Capital como a nivel de Eureka!  El Canal cuenta con una herramienta de información interna que permite la consolidación de datos para el reporte de información, articulando la información desde diferentes dependencias que participan en los procesos de gestión de políticas públicas poblacionales y compromisos étnicos.  Por último, de acuerdo con los requerimientos establecidos por las entidades rectoras de Política Pública y las directrices de la SCRD se atendieron los reportes trimestrales de avance para las políticas públicas de Juventud, Mujer y Equidad de Género, Actividades Sexuales Pagadas y Población LGBTI. Asimismo se atendieron los requerimientos de avance con las comunidades Afrocolombianas, Indígenas en sus distintas formas (Cabildos, Autoridades Bakatá, Cabildo Muisca de Bosa, Palenqueros, Raizales y Población ROM. 
T4: La gestión garantizó la producción de 6 cápsulas audiovisuales circuladas en señal abierta y en canal de YouTube logrando más de 3000 reproducciones, productos generados para los grupos étnicos. Asimismo se logro la producción de cinco podcast que dan cuenta de las prácticas culturales de los grupos étnicos. Tanto los podcast como las producciones audiovisuales se realizaron con participación y de manera colaborativa con los representantes de las diferentes comunidades. A través del Informativo se realizó el cubrimiento de las fechas emblemáticas de los grupos étnicos. Por medio del grupo digital se realizaron dos jornadas de fortalecimiento en capacidades digitales para los grupos de comunicaciones de las organizaciones étnicas. Para la PP de Mujeres, fue actualizado el Manual de Comunicaciones de la entidad desde un enfoque de género. Se gestionó la participación de Capital en el TPMEG. Para todos los grupos poblacionales objeto de política, se llevó a cabo la generación de contenidos audiovisuales, tanto a nivel Capital como a nivel Eureka!, siendo este un proyecto de suma importancia para la televisión pública. De acuerdo con los requerimientos establecidos por las entidades rectoras de Política Pública y las directrices de la SCRD se atendieron los reportes trimestrales de avance para las políticas públicas de Juventud, Mujer y Equidad de Género, Actividades Sexuales Pagadas y Población LGBTI. Asimismo se atendieron los requerimientos de avance con las comunidades Afrocolombianas, Indígenas en sus distintas formas (Cabildos, Autoridades Bakatá, Cabildo Muisca de Bosa), Palenqueros, Raizales y Población ROM. La implementación de las acciones estuvo sujeta a la disponibilidad de recursos técnicos y presupuestales, por lo que algunos compromisos continúan su fase de diseño y/o implementación durante el 2022.</t>
  </si>
  <si>
    <t>La gestión garantizó la producción de 6 cápsulas audiovisuales circuladas en señal abierta y en canal de YouTube logrando más de 3000 reproducciones, productos generados para los grupos étnicos. Asimismo se logro la producción de cinco podcast que dan cuenta de las prácticas culturales de los grupos étnicos. Tanto los podcast como las producciones audiovisuales se realizaron con participación y de manera colaborativa con los representantes de las diferentes comunidades. 
A través del Informativo se realizó el cubrimiento de las fechas emblemáticas de los grupos étnicos. Por medio del grupo digital se realizaron dos jornadas de fortalecimiento en capacidades digitales para los grupos de comunicaciones de las organizaciones étnicas. 
Para la PP de Mujeres, fue actualizado el Manual de Comunicaciones de la entidad desde un enfoque de género. Se gestionó la participación de Capital en el TPMEG. 
Para todos los grupos poblacionales objeto de política, se llevó a cabo la generación de contenidos audiovisuales, tanto a nivel Capital como a nivel Eureka!, siendo este un proyecto de suma importancia para la televisión pública. 
De acuerdo con los requerimientos establecidos por las entidades rectoras de Política Pública y las directrices de la SCRD se atendieron los reportes trimestrales de avance para las políticas públicas de Juventud, Mujer y Equidad de Género, Actividades Sexuales Pagadas y Población LGBTI. Asimismo se atendieron los requerimientos de avance con las comunidades Afrocolombianas, Indígenas en sus distintas formas (Cabildos, Autoridades Bakatá, Cabildo Muisca de Bosa), Palenqueros, Raizales y Población ROM. La implementación de las acciones estuvo sujeta a la disponibilidad de recursos técnicos y presupuestales, por lo que algunos compromisos continúan su fase de diseño y/o implementación durante 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</si>
</sst>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quot;$&quot;\ * #,##0_-;\-&quot;$&quot;\ * #,##0_-;_-&quot;$&quot;\ * &quot;-&quot;??_-;_-@_-"/>
    <numFmt numFmtId="166" formatCode="0.0%"/>
    <numFmt numFmtId="167" formatCode="0.0"/>
  </numFmts>
  <fonts count="50"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color theme="0"/>
      <name val="Arial"/>
      <family val="2"/>
    </font>
    <font>
      <sz val="8"/>
      <color theme="1" tint="0.499984740745262"/>
      <name val="Arial"/>
      <family val="2"/>
    </font>
    <font>
      <sz val="10"/>
      <color rgb="FFFF0000"/>
      <name val="Arial"/>
      <family val="2"/>
    </font>
    <font>
      <sz val="10"/>
      <name val="Arial"/>
      <family val="2"/>
    </font>
    <font>
      <sz val="10"/>
      <color theme="1" tint="4.9989318521683403E-2"/>
      <name val="Arial"/>
      <family val="2"/>
    </font>
    <font>
      <i/>
      <sz val="10"/>
      <name val="Arial"/>
      <family val="2"/>
    </font>
    <font>
      <sz val="10"/>
      <color rgb="FF000000"/>
      <name val="Arial"/>
      <family val="2"/>
    </font>
    <font>
      <b/>
      <i/>
      <sz val="10"/>
      <name val="Arial"/>
      <family val="2"/>
    </font>
    <font>
      <b/>
      <sz val="10"/>
      <name val="Arial"/>
      <family val="2"/>
    </font>
    <font>
      <b/>
      <u/>
      <sz val="10"/>
      <name val="Arial"/>
      <family val="2"/>
    </font>
    <font>
      <b/>
      <sz val="10"/>
      <color indexed="9"/>
      <name val="Arial"/>
      <family val="2"/>
    </font>
    <font>
      <sz val="10"/>
      <color theme="0" tint="-0.499984740745262"/>
      <name val="Arial"/>
      <family val="2"/>
    </font>
    <font>
      <b/>
      <sz val="9"/>
      <color indexed="81"/>
      <name val="MingLiU_HKSCS"/>
      <family val="1"/>
    </font>
    <font>
      <b/>
      <sz val="9"/>
      <color indexed="81"/>
      <name val="Tahoma"/>
      <family val="2"/>
    </font>
    <font>
      <sz val="12"/>
      <name val="Arial"/>
      <family val="2"/>
    </font>
    <font>
      <b/>
      <sz val="12"/>
      <name val="Arial"/>
      <family val="2"/>
    </font>
    <font>
      <b/>
      <i/>
      <sz val="11"/>
      <name val="Arial"/>
      <family val="2"/>
    </font>
    <font>
      <sz val="11"/>
      <name val="Arial"/>
      <family val="2"/>
    </font>
    <font>
      <b/>
      <sz val="11"/>
      <name val="Arial"/>
      <family val="2"/>
    </font>
    <font>
      <sz val="11"/>
      <color theme="0" tint="-0.34998626667073579"/>
      <name val="Arial"/>
      <family val="2"/>
    </font>
    <font>
      <b/>
      <u/>
      <sz val="11"/>
      <color theme="0" tint="-0.34998626667073579"/>
      <name val="Arial"/>
      <family val="2"/>
    </font>
    <font>
      <b/>
      <u/>
      <sz val="11"/>
      <name val="Arial"/>
      <family val="2"/>
    </font>
    <font>
      <i/>
      <sz val="11"/>
      <name val="Arial"/>
      <family val="2"/>
    </font>
    <font>
      <b/>
      <i/>
      <sz val="11"/>
      <color theme="0" tint="-0.34998626667073579"/>
      <name val="Arial"/>
      <family val="2"/>
    </font>
    <font>
      <b/>
      <u/>
      <sz val="12"/>
      <name val="Arial"/>
      <family val="2"/>
    </font>
    <font>
      <b/>
      <sz val="10"/>
      <color theme="0"/>
      <name val="Arial"/>
      <family val="2"/>
    </font>
    <font>
      <sz val="9"/>
      <color indexed="81"/>
      <name val="Tahoma"/>
      <family val="2"/>
    </font>
    <font>
      <sz val="11"/>
      <color rgb="FFA5A5A5"/>
      <name val="Arial"/>
      <family val="2"/>
    </font>
    <font>
      <b/>
      <u/>
      <sz val="11"/>
      <color rgb="FFA5A5A5"/>
      <name val="Arial"/>
      <family val="2"/>
    </font>
    <font>
      <b/>
      <i/>
      <sz val="11"/>
      <color rgb="FFA5A5A5"/>
      <name val="Arial"/>
      <family val="2"/>
    </font>
    <font>
      <b/>
      <sz val="10"/>
      <color rgb="FFFFFFFF"/>
      <name val="Arial"/>
      <family val="2"/>
    </font>
    <font>
      <b/>
      <i/>
      <sz val="12"/>
      <name val="Arial"/>
      <family val="2"/>
    </font>
    <font>
      <sz val="12"/>
      <color rgb="FFA5A5A5"/>
      <name val="Arial"/>
      <family val="2"/>
    </font>
    <font>
      <b/>
      <u/>
      <sz val="12"/>
      <color rgb="FFA5A5A5"/>
      <name val="Arial"/>
      <family val="2"/>
    </font>
    <font>
      <b/>
      <sz val="11"/>
      <color theme="1"/>
      <name val="Calibri"/>
      <family val="2"/>
      <scheme val="minor"/>
    </font>
    <font>
      <u/>
      <sz val="11"/>
      <color theme="10"/>
      <name val="Calibri"/>
      <family val="2"/>
      <scheme val="minor"/>
    </font>
    <font>
      <sz val="8"/>
      <color theme="1"/>
      <name val="Arial"/>
      <family val="2"/>
    </font>
    <font>
      <sz val="11"/>
      <color theme="1"/>
      <name val="Arial"/>
      <family val="2"/>
    </font>
    <font>
      <b/>
      <sz val="8"/>
      <color theme="1"/>
      <name val="Arial"/>
      <family val="2"/>
    </font>
    <font>
      <sz val="8"/>
      <name val="Calibri"/>
      <family val="2"/>
      <scheme val="minor"/>
    </font>
    <font>
      <sz val="10"/>
      <color rgb="FF00B050"/>
      <name val="Arial"/>
      <family val="2"/>
    </font>
    <font>
      <sz val="10"/>
      <name val="Calibri"/>
      <family val="2"/>
    </font>
    <font>
      <sz val="9"/>
      <name val="Arial"/>
      <family val="2"/>
    </font>
    <font>
      <b/>
      <sz val="11"/>
      <color theme="0"/>
      <name val="Calibri"/>
      <family val="2"/>
      <scheme val="minor"/>
    </font>
    <font>
      <sz val="11"/>
      <color theme="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FF"/>
        <bgColor rgb="FFFFFFFF"/>
      </patternFill>
    </fill>
    <fill>
      <patternFill patternType="solid">
        <fgColor theme="5"/>
        <bgColor indexed="64"/>
      </patternFill>
    </fill>
    <fill>
      <patternFill patternType="solid">
        <fgColor theme="7" tint="0.39997558519241921"/>
        <bgColor indexed="64"/>
      </patternFill>
    </fill>
    <fill>
      <patternFill patternType="solid">
        <fgColor theme="5"/>
        <bgColor rgb="FF003366"/>
      </patternFill>
    </fill>
    <fill>
      <patternFill patternType="solid">
        <fgColor theme="5"/>
        <bgColor rgb="FF17365D"/>
      </patternFill>
    </fill>
    <fill>
      <patternFill patternType="solid">
        <fgColor theme="2" tint="-0.499984740745262"/>
        <bgColor rgb="FF003366"/>
      </patternFill>
    </fill>
    <fill>
      <patternFill patternType="solid">
        <fgColor theme="2" tint="-0.49998474074526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FF0000"/>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0" fontId="8" fillId="0" borderId="0"/>
    <xf numFmtId="9" fontId="8" fillId="0" borderId="0" applyFont="0" applyFill="0" applyBorder="0" applyAlignment="0" applyProtection="0"/>
    <xf numFmtId="9" fontId="11" fillId="0" borderId="0" applyFont="0" applyFill="0" applyBorder="0" applyAlignment="0" applyProtection="0"/>
    <xf numFmtId="0" fontId="40" fillId="0" borderId="0" applyNumberFormat="0" applyFill="0" applyBorder="0" applyAlignment="0" applyProtection="0"/>
    <xf numFmtId="0" fontId="42" fillId="0" borderId="0"/>
    <xf numFmtId="9" fontId="42" fillId="0" borderId="0" applyFont="0" applyFill="0" applyBorder="0" applyAlignment="0" applyProtection="0"/>
  </cellStyleXfs>
  <cellXfs count="940">
    <xf numFmtId="0" fontId="0" fillId="0" borderId="0" xfId="0"/>
    <xf numFmtId="0" fontId="3" fillId="0" borderId="0" xfId="0" applyFont="1"/>
    <xf numFmtId="0" fontId="4"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4" xfId="0" applyFont="1" applyFill="1" applyBorder="1" applyAlignment="1">
      <alignment horizontal="center"/>
    </xf>
    <xf numFmtId="14" fontId="3" fillId="2" borderId="0" xfId="0" applyNumberFormat="1" applyFont="1" applyFill="1" applyAlignment="1">
      <alignment horizontal="left" vertical="center"/>
    </xf>
    <xf numFmtId="0" fontId="3" fillId="0" borderId="0" xfId="0" applyFont="1" applyAlignment="1">
      <alignment horizontal="center"/>
    </xf>
    <xf numFmtId="0" fontId="3" fillId="0" borderId="4" xfId="0" applyFont="1" applyBorder="1" applyAlignment="1">
      <alignment horizontal="center"/>
    </xf>
    <xf numFmtId="0" fontId="5" fillId="0" borderId="0" xfId="0" applyFont="1"/>
    <xf numFmtId="0" fontId="6" fillId="0" borderId="0" xfId="0" applyFont="1" applyAlignment="1">
      <alignment horizontal="left" vertical="center" wrapText="1"/>
    </xf>
    <xf numFmtId="0" fontId="7" fillId="0" borderId="0" xfId="0" applyFont="1"/>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165" fontId="3" fillId="0" borderId="25" xfId="1" applyNumberFormat="1" applyFont="1" applyFill="1" applyBorder="1" applyAlignment="1">
      <alignment horizontal="center" vertical="center" wrapText="1"/>
    </xf>
    <xf numFmtId="165" fontId="3" fillId="0" borderId="23" xfId="1" applyNumberFormat="1" applyFont="1" applyFill="1" applyBorder="1" applyAlignment="1">
      <alignment horizontal="center" vertical="center" wrapText="1"/>
    </xf>
    <xf numFmtId="0" fontId="3" fillId="0" borderId="26" xfId="0" applyFont="1" applyBorder="1" applyAlignment="1">
      <alignment horizontal="left" vertical="center" wrapText="1"/>
    </xf>
    <xf numFmtId="0" fontId="8"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9" fontId="9" fillId="2" borderId="25" xfId="0" applyNumberFormat="1" applyFont="1" applyFill="1" applyBorder="1" applyAlignment="1">
      <alignment horizontal="center" vertical="center" wrapText="1"/>
    </xf>
    <xf numFmtId="9" fontId="9" fillId="2" borderId="23" xfId="0" applyNumberFormat="1" applyFont="1" applyFill="1" applyBorder="1" applyAlignment="1">
      <alignment horizontal="center" vertical="center" wrapText="1"/>
    </xf>
    <xf numFmtId="9" fontId="9" fillId="2" borderId="26" xfId="0" applyNumberFormat="1" applyFont="1" applyFill="1" applyBorder="1" applyAlignment="1">
      <alignment horizontal="center" vertical="center" wrapText="1"/>
    </xf>
    <xf numFmtId="165" fontId="8" fillId="2" borderId="25" xfId="1" applyNumberFormat="1" applyFont="1" applyFill="1" applyBorder="1" applyAlignment="1">
      <alignment horizontal="center" vertical="center" wrapText="1"/>
    </xf>
    <xf numFmtId="165" fontId="8" fillId="2" borderId="23" xfId="1" applyNumberFormat="1" applyFont="1" applyFill="1" applyBorder="1" applyAlignment="1">
      <alignment horizontal="center" vertical="center" wrapText="1"/>
    </xf>
    <xf numFmtId="0" fontId="9" fillId="2" borderId="26" xfId="0" applyFont="1" applyFill="1" applyBorder="1" applyAlignment="1">
      <alignment horizontal="left" vertical="center" wrapText="1"/>
    </xf>
    <xf numFmtId="0" fontId="3" fillId="2" borderId="0" xfId="0" applyFont="1" applyFill="1"/>
    <xf numFmtId="10" fontId="3" fillId="0" borderId="24" xfId="0" applyNumberFormat="1" applyFont="1" applyBorder="1" applyAlignment="1">
      <alignment horizontal="center" vertical="center" wrapText="1"/>
    </xf>
    <xf numFmtId="9" fontId="3" fillId="0" borderId="25" xfId="0" applyNumberFormat="1" applyFont="1" applyBorder="1" applyAlignment="1">
      <alignment horizontal="center" vertical="center" wrapText="1"/>
    </xf>
    <xf numFmtId="9" fontId="3" fillId="0" borderId="23" xfId="0" applyNumberFormat="1" applyFont="1" applyBorder="1" applyAlignment="1">
      <alignment horizontal="center" vertical="center" wrapText="1"/>
    </xf>
    <xf numFmtId="9" fontId="3" fillId="0" borderId="26" xfId="0" applyNumberFormat="1" applyFont="1" applyBorder="1" applyAlignment="1">
      <alignment horizontal="center" vertical="center" wrapText="1"/>
    </xf>
    <xf numFmtId="0" fontId="8" fillId="0" borderId="26" xfId="0" applyFont="1" applyBorder="1" applyAlignment="1">
      <alignment horizontal="left" vertical="center" wrapText="1"/>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9" fontId="8" fillId="0" borderId="24" xfId="0" applyNumberFormat="1" applyFont="1" applyBorder="1" applyAlignment="1">
      <alignment horizontal="center" vertical="center" wrapText="1"/>
    </xf>
    <xf numFmtId="9" fontId="8" fillId="0" borderId="25" xfId="0" applyNumberFormat="1" applyFont="1" applyBorder="1" applyAlignment="1">
      <alignment horizontal="center" vertical="center" wrapText="1"/>
    </xf>
    <xf numFmtId="9" fontId="8" fillId="0" borderId="2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165" fontId="8" fillId="0" borderId="25" xfId="1" applyNumberFormat="1" applyFont="1" applyBorder="1" applyAlignment="1">
      <alignment horizontal="center" vertical="center" wrapText="1"/>
    </xf>
    <xf numFmtId="165" fontId="8" fillId="0" borderId="23" xfId="1" applyNumberFormat="1" applyFont="1" applyBorder="1" applyAlignment="1">
      <alignment horizontal="center" vertical="center" wrapText="1"/>
    </xf>
    <xf numFmtId="165" fontId="8" fillId="0" borderId="25" xfId="1" applyNumberFormat="1" applyFont="1" applyFill="1" applyBorder="1" applyAlignment="1">
      <alignment horizontal="center" vertical="center" wrapText="1"/>
    </xf>
    <xf numFmtId="165" fontId="8" fillId="0" borderId="23" xfId="1" applyNumberFormat="1" applyFont="1" applyFill="1" applyBorder="1" applyAlignment="1">
      <alignment horizontal="center" vertical="center" wrapText="1"/>
    </xf>
    <xf numFmtId="9" fontId="3" fillId="0" borderId="25" xfId="0" applyNumberFormat="1" applyFont="1" applyBorder="1" applyAlignment="1">
      <alignment horizontal="center" vertical="center"/>
    </xf>
    <xf numFmtId="9" fontId="3" fillId="0" borderId="26" xfId="0" applyNumberFormat="1" applyFont="1" applyBorder="1" applyAlignment="1">
      <alignment horizontal="center" vertical="center"/>
    </xf>
    <xf numFmtId="0" fontId="3" fillId="0" borderId="24" xfId="0" applyFont="1" applyBorder="1" applyAlignment="1">
      <alignment horizontal="center" vertical="center"/>
    </xf>
    <xf numFmtId="1" fontId="3" fillId="0" borderId="23" xfId="0" applyNumberFormat="1" applyFont="1" applyBorder="1" applyAlignment="1">
      <alignment horizontal="center" vertical="center"/>
    </xf>
    <xf numFmtId="1" fontId="3" fillId="0" borderId="26" xfId="0" applyNumberFormat="1" applyFont="1" applyBorder="1" applyAlignment="1">
      <alignment horizontal="center" vertical="center"/>
    </xf>
    <xf numFmtId="9" fontId="3" fillId="0" borderId="25" xfId="2" applyFont="1" applyBorder="1" applyAlignment="1">
      <alignment horizontal="center" vertical="center"/>
    </xf>
    <xf numFmtId="9" fontId="3" fillId="0" borderId="26" xfId="2" applyFont="1" applyBorder="1" applyAlignment="1">
      <alignment horizontal="center" vertical="center"/>
    </xf>
    <xf numFmtId="0" fontId="8" fillId="2" borderId="24" xfId="0" applyFont="1" applyFill="1" applyBorder="1" applyAlignment="1">
      <alignment horizontal="center" vertical="center"/>
    </xf>
    <xf numFmtId="9" fontId="8" fillId="2" borderId="25" xfId="0" applyNumberFormat="1" applyFont="1" applyFill="1" applyBorder="1" applyAlignment="1">
      <alignment horizontal="center" vertical="center"/>
    </xf>
    <xf numFmtId="9" fontId="8" fillId="2" borderId="23" xfId="0" applyNumberFormat="1" applyFont="1" applyFill="1" applyBorder="1" applyAlignment="1">
      <alignment horizontal="center" vertical="center"/>
    </xf>
    <xf numFmtId="9" fontId="8" fillId="2" borderId="26" xfId="0" applyNumberFormat="1" applyFont="1" applyFill="1" applyBorder="1" applyAlignment="1">
      <alignment horizontal="center" vertical="center"/>
    </xf>
    <xf numFmtId="165" fontId="8" fillId="2" borderId="25" xfId="1" applyNumberFormat="1" applyFont="1" applyFill="1" applyBorder="1" applyAlignment="1">
      <alignment horizontal="center" vertical="center"/>
    </xf>
    <xf numFmtId="165" fontId="8" fillId="2" borderId="23" xfId="1" applyNumberFormat="1" applyFont="1" applyFill="1" applyBorder="1" applyAlignment="1">
      <alignment horizontal="center" vertical="center"/>
    </xf>
    <xf numFmtId="0" fontId="8" fillId="2" borderId="25"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0" xfId="0" applyFont="1" applyFill="1"/>
    <xf numFmtId="0" fontId="3" fillId="2" borderId="23" xfId="0" applyFont="1" applyFill="1" applyBorder="1" applyAlignment="1">
      <alignment horizontal="left" vertical="center" wrapText="1"/>
    </xf>
    <xf numFmtId="0" fontId="8" fillId="2" borderId="24" xfId="0" applyFont="1" applyFill="1" applyBorder="1" applyAlignment="1">
      <alignment horizontal="center" vertical="center" wrapText="1"/>
    </xf>
    <xf numFmtId="9" fontId="8" fillId="2" borderId="25" xfId="0" applyNumberFormat="1" applyFont="1" applyFill="1" applyBorder="1" applyAlignment="1">
      <alignment horizontal="center" vertical="center" wrapText="1"/>
    </xf>
    <xf numFmtId="9" fontId="8" fillId="2" borderId="23" xfId="0" applyNumberFormat="1" applyFont="1" applyFill="1" applyBorder="1" applyAlignment="1">
      <alignment horizontal="center" vertical="center" wrapText="1"/>
    </xf>
    <xf numFmtId="9" fontId="8" fillId="2" borderId="26" xfId="0" applyNumberFormat="1" applyFont="1" applyFill="1" applyBorder="1" applyAlignment="1">
      <alignment horizontal="center" vertical="center" wrapText="1"/>
    </xf>
    <xf numFmtId="165" fontId="3" fillId="2" borderId="25" xfId="1" applyNumberFormat="1" applyFont="1" applyFill="1" applyBorder="1" applyAlignment="1">
      <alignment horizontal="center" vertical="center" wrapText="1"/>
    </xf>
    <xf numFmtId="0" fontId="3" fillId="2" borderId="26" xfId="0" applyFont="1" applyFill="1" applyBorder="1" applyAlignment="1">
      <alignment horizontal="left" vertical="center" wrapText="1"/>
    </xf>
    <xf numFmtId="165" fontId="3" fillId="2" borderId="23" xfId="1" applyNumberFormat="1" applyFont="1" applyFill="1" applyBorder="1" applyAlignment="1">
      <alignment horizontal="center" vertical="center" wrapText="1"/>
    </xf>
    <xf numFmtId="9" fontId="8" fillId="2" borderId="24" xfId="0" applyNumberFormat="1" applyFont="1" applyFill="1" applyBorder="1" applyAlignment="1">
      <alignment horizontal="center" vertical="center" wrapText="1"/>
    </xf>
    <xf numFmtId="9" fontId="3" fillId="2" borderId="25" xfId="0" applyNumberFormat="1" applyFont="1" applyFill="1" applyBorder="1" applyAlignment="1">
      <alignment horizontal="center" vertical="center" wrapText="1"/>
    </xf>
    <xf numFmtId="9" fontId="3" fillId="2" borderId="23" xfId="0" applyNumberFormat="1" applyFont="1" applyFill="1" applyBorder="1" applyAlignment="1">
      <alignment horizontal="center" vertical="center" wrapText="1"/>
    </xf>
    <xf numFmtId="9" fontId="3" fillId="2" borderId="26" xfId="0" applyNumberFormat="1" applyFont="1" applyFill="1" applyBorder="1" applyAlignment="1">
      <alignment horizontal="center" vertical="center" wrapText="1"/>
    </xf>
    <xf numFmtId="165" fontId="9" fillId="2" borderId="23" xfId="1"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0" xfId="0" applyFont="1" applyFill="1" applyAlignment="1">
      <alignment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3" fillId="0" borderId="15" xfId="0" applyFont="1" applyBorder="1"/>
    <xf numFmtId="0" fontId="3" fillId="0" borderId="16" xfId="0" applyFont="1" applyBorder="1"/>
    <xf numFmtId="0" fontId="3" fillId="0" borderId="16" xfId="0" applyFont="1" applyBorder="1" applyAlignment="1">
      <alignment horizontal="center"/>
    </xf>
    <xf numFmtId="0" fontId="3" fillId="0" borderId="18" xfId="0" applyFont="1" applyBorder="1"/>
    <xf numFmtId="0" fontId="3" fillId="0" borderId="17" xfId="0" applyFont="1" applyBorder="1"/>
    <xf numFmtId="165" fontId="3" fillId="0" borderId="15" xfId="1" applyNumberFormat="1" applyFont="1" applyBorder="1" applyAlignment="1">
      <alignment horizontal="center" vertical="center"/>
    </xf>
    <xf numFmtId="165" fontId="3" fillId="0" borderId="16" xfId="1" applyNumberFormat="1" applyFont="1" applyBorder="1" applyAlignment="1">
      <alignment horizontal="center" vertical="center"/>
    </xf>
    <xf numFmtId="0" fontId="3" fillId="0" borderId="0" xfId="0" applyFont="1" applyAlignment="1">
      <alignment horizontal="left" vertical="center" wrapText="1"/>
    </xf>
    <xf numFmtId="0" fontId="4" fillId="2" borderId="7" xfId="0" applyFont="1" applyFill="1" applyBorder="1" applyAlignment="1">
      <alignment horizontal="righ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8" fillId="2" borderId="0" xfId="3" applyFont="1" applyFill="1" applyAlignment="1">
      <alignment vertical="center"/>
    </xf>
    <xf numFmtId="0" fontId="8" fillId="2" borderId="0" xfId="3" applyFont="1" applyFill="1" applyAlignment="1">
      <alignment horizontal="left" vertical="center"/>
    </xf>
    <xf numFmtId="0" fontId="13" fillId="2" borderId="0" xfId="3" applyFont="1" applyFill="1" applyAlignment="1">
      <alignment horizontal="center" vertical="center"/>
    </xf>
    <xf numFmtId="0" fontId="8" fillId="2" borderId="36" xfId="4" applyFill="1" applyBorder="1" applyAlignment="1">
      <alignment horizontal="center" vertical="center"/>
    </xf>
    <xf numFmtId="0" fontId="8" fillId="2" borderId="0" xfId="4" applyFill="1" applyAlignment="1">
      <alignment horizontal="left" vertical="center"/>
    </xf>
    <xf numFmtId="0" fontId="14" fillId="2" borderId="0" xfId="4" applyFont="1" applyFill="1" applyAlignment="1">
      <alignment horizontal="left" vertical="center" wrapText="1"/>
    </xf>
    <xf numFmtId="0" fontId="14" fillId="2" borderId="0" xfId="4" applyFont="1" applyFill="1" applyAlignment="1">
      <alignment horizontal="center" vertical="center" wrapText="1"/>
    </xf>
    <xf numFmtId="0" fontId="8" fillId="2" borderId="0" xfId="4" applyFill="1" applyAlignment="1">
      <alignment vertical="center"/>
    </xf>
    <xf numFmtId="0" fontId="16" fillId="0" borderId="25" xfId="4" applyFont="1" applyBorder="1" applyAlignment="1">
      <alignment horizontal="center" vertical="center" wrapText="1"/>
    </xf>
    <xf numFmtId="0" fontId="16" fillId="0" borderId="23" xfId="4" applyFont="1" applyBorder="1" applyAlignment="1">
      <alignment horizontal="left" vertical="center" wrapText="1"/>
    </xf>
    <xf numFmtId="0" fontId="16" fillId="0" borderId="23" xfId="4" applyFont="1" applyBorder="1" applyAlignment="1" applyProtection="1">
      <alignment horizontal="left" vertical="center" wrapText="1"/>
      <protection locked="0"/>
    </xf>
    <xf numFmtId="0" fontId="16" fillId="0" borderId="23" xfId="4" applyFont="1" applyBorder="1" applyAlignment="1" applyProtection="1">
      <alignment horizontal="center" vertical="center" wrapText="1"/>
      <protection locked="0"/>
    </xf>
    <xf numFmtId="0" fontId="8" fillId="2" borderId="0" xfId="4" applyFill="1" applyAlignment="1">
      <alignment horizontal="center" vertical="center"/>
    </xf>
    <xf numFmtId="0" fontId="16" fillId="0" borderId="15" xfId="4" applyFont="1" applyBorder="1" applyAlignment="1">
      <alignment horizontal="center" vertical="center" wrapText="1"/>
    </xf>
    <xf numFmtId="0" fontId="16" fillId="0" borderId="16" xfId="4" applyFont="1" applyBorder="1" applyAlignment="1">
      <alignment horizontal="left" vertical="center" wrapText="1"/>
    </xf>
    <xf numFmtId="0" fontId="16" fillId="0" borderId="16" xfId="4" applyFont="1" applyBorder="1" applyAlignment="1" applyProtection="1">
      <alignment horizontal="left" vertical="center" wrapText="1"/>
      <protection locked="0"/>
    </xf>
    <xf numFmtId="0" fontId="16" fillId="0" borderId="16" xfId="4" applyFont="1" applyBorder="1" applyAlignment="1" applyProtection="1">
      <alignment horizontal="center" vertical="center" wrapText="1"/>
      <protection locked="0"/>
    </xf>
    <xf numFmtId="0" fontId="13" fillId="2" borderId="0" xfId="4" applyFont="1" applyFill="1" applyAlignment="1">
      <alignment vertical="center" wrapText="1"/>
    </xf>
    <xf numFmtId="0" fontId="13" fillId="2" borderId="0" xfId="4" applyFont="1" applyFill="1" applyAlignment="1">
      <alignment horizontal="left" vertical="center" wrapText="1"/>
    </xf>
    <xf numFmtId="0" fontId="8" fillId="2" borderId="0" xfId="4" applyFill="1" applyAlignment="1">
      <alignment horizontal="left" vertical="center" wrapText="1"/>
    </xf>
    <xf numFmtId="0" fontId="8" fillId="2" borderId="0" xfId="4" applyFill="1" applyAlignment="1">
      <alignment horizontal="center" vertical="center" wrapText="1"/>
    </xf>
    <xf numFmtId="0" fontId="8" fillId="2" borderId="0" xfId="4" applyFill="1" applyAlignment="1" applyProtection="1">
      <alignment horizontal="left" vertical="center" wrapText="1"/>
      <protection locked="0"/>
    </xf>
    <xf numFmtId="0" fontId="8" fillId="2" borderId="0" xfId="4" applyFill="1" applyAlignment="1" applyProtection="1">
      <alignment horizontal="center" vertical="center" wrapText="1"/>
      <protection locked="0"/>
    </xf>
    <xf numFmtId="0" fontId="8" fillId="0" borderId="0" xfId="4" applyAlignment="1">
      <alignment horizontal="center" vertical="center" wrapText="1"/>
    </xf>
    <xf numFmtId="0" fontId="8" fillId="0" borderId="0" xfId="4" applyAlignment="1">
      <alignment horizontal="center" vertical="center"/>
    </xf>
    <xf numFmtId="0" fontId="8" fillId="0" borderId="0" xfId="4" applyAlignment="1">
      <alignment horizontal="left" vertical="center"/>
    </xf>
    <xf numFmtId="0" fontId="8" fillId="0" borderId="0" xfId="4" applyAlignment="1">
      <alignment horizontal="left" vertical="center" wrapText="1"/>
    </xf>
    <xf numFmtId="0" fontId="8" fillId="0" borderId="0" xfId="4" applyAlignment="1">
      <alignment vertical="center"/>
    </xf>
    <xf numFmtId="0" fontId="19" fillId="2" borderId="0" xfId="3" applyFont="1" applyFill="1" applyAlignment="1">
      <alignment vertical="center"/>
    </xf>
    <xf numFmtId="0" fontId="19" fillId="2" borderId="28" xfId="3" applyFont="1" applyFill="1" applyBorder="1" applyAlignment="1">
      <alignment horizontal="center" vertical="center"/>
    </xf>
    <xf numFmtId="0" fontId="20" fillId="2" borderId="28" xfId="3" applyFont="1" applyFill="1" applyBorder="1" applyAlignment="1">
      <alignment horizontal="center" vertical="center"/>
    </xf>
    <xf numFmtId="0" fontId="19" fillId="2" borderId="28" xfId="3" applyFont="1" applyFill="1" applyBorder="1" applyAlignment="1">
      <alignment horizontal="left" vertical="center" wrapText="1"/>
    </xf>
    <xf numFmtId="0" fontId="19" fillId="0" borderId="0" xfId="3" applyFont="1" applyAlignment="1">
      <alignment vertical="center"/>
    </xf>
    <xf numFmtId="0" fontId="19" fillId="2" borderId="0" xfId="3" applyFont="1" applyFill="1" applyAlignment="1">
      <alignment horizontal="center" vertical="center"/>
    </xf>
    <xf numFmtId="0" fontId="22" fillId="2" borderId="0" xfId="3" applyFont="1" applyFill="1" applyAlignment="1">
      <alignment vertical="center"/>
    </xf>
    <xf numFmtId="0" fontId="23" fillId="2" borderId="0" xfId="3" applyFont="1" applyFill="1" applyAlignment="1">
      <alignment horizontal="right" vertical="center" indent="2"/>
    </xf>
    <xf numFmtId="0" fontId="24" fillId="2" borderId="0" xfId="3" applyFont="1" applyFill="1" applyAlignment="1">
      <alignment horizontal="left" vertical="center" wrapText="1"/>
    </xf>
    <xf numFmtId="0" fontId="25" fillId="2" borderId="0" xfId="3" applyFont="1" applyFill="1" applyAlignment="1">
      <alignment horizontal="left" vertical="center" wrapText="1"/>
    </xf>
    <xf numFmtId="0" fontId="26" fillId="2" borderId="0" xfId="3" applyFont="1" applyFill="1" applyAlignment="1">
      <alignment horizontal="left" vertical="center"/>
    </xf>
    <xf numFmtId="0" fontId="22" fillId="2" borderId="0" xfId="3" applyFont="1" applyFill="1" applyAlignment="1">
      <alignment horizontal="left" vertical="center" wrapText="1"/>
    </xf>
    <xf numFmtId="0" fontId="23" fillId="2" borderId="0" xfId="3" applyFont="1" applyFill="1" applyAlignment="1">
      <alignment horizontal="right" vertical="center"/>
    </xf>
    <xf numFmtId="0" fontId="22" fillId="2" borderId="0" xfId="3" applyFont="1" applyFill="1" applyAlignment="1">
      <alignment horizontal="right" vertical="center"/>
    </xf>
    <xf numFmtId="0" fontId="23" fillId="2" borderId="0" xfId="3" applyFont="1" applyFill="1" applyAlignment="1">
      <alignment horizontal="center" vertical="center"/>
    </xf>
    <xf numFmtId="0" fontId="28" fillId="2" borderId="0" xfId="3" applyFont="1" applyFill="1" applyAlignment="1">
      <alignment horizontal="left" vertical="center" wrapText="1"/>
    </xf>
    <xf numFmtId="0" fontId="27" fillId="2" borderId="0" xfId="3" applyFont="1" applyFill="1" applyAlignment="1">
      <alignment horizontal="left" vertical="center" wrapText="1"/>
    </xf>
    <xf numFmtId="0" fontId="26" fillId="2" borderId="0" xfId="3" applyFont="1" applyFill="1" applyAlignment="1">
      <alignment vertical="center" wrapText="1"/>
    </xf>
    <xf numFmtId="0" fontId="26" fillId="2" borderId="0" xfId="3" applyFont="1" applyFill="1" applyAlignment="1">
      <alignment vertical="center"/>
    </xf>
    <xf numFmtId="0" fontId="29" fillId="2" borderId="0" xfId="3" applyFont="1" applyFill="1" applyAlignment="1">
      <alignment vertical="center" wrapText="1"/>
    </xf>
    <xf numFmtId="0" fontId="29" fillId="2" borderId="0" xfId="3" applyFont="1" applyFill="1" applyAlignment="1">
      <alignment vertical="center"/>
    </xf>
    <xf numFmtId="0" fontId="19" fillId="2" borderId="0" xfId="3" applyFont="1" applyFill="1" applyAlignment="1">
      <alignment horizontal="left" vertical="center" wrapText="1"/>
    </xf>
    <xf numFmtId="0" fontId="11" fillId="2" borderId="0" xfId="3" applyFill="1" applyAlignment="1">
      <alignment vertical="center"/>
    </xf>
    <xf numFmtId="0" fontId="11" fillId="0" borderId="0" xfId="3" applyAlignment="1">
      <alignment vertical="center"/>
    </xf>
    <xf numFmtId="0" fontId="11" fillId="0" borderId="10" xfId="3" applyBorder="1" applyAlignment="1">
      <alignment horizontal="center" vertical="center" wrapText="1"/>
    </xf>
    <xf numFmtId="0" fontId="11" fillId="0" borderId="11" xfId="3" applyBorder="1" applyAlignment="1">
      <alignment horizontal="center" vertical="center" wrapText="1"/>
    </xf>
    <xf numFmtId="9" fontId="11" fillId="0" borderId="11" xfId="3" applyNumberFormat="1" applyBorder="1" applyAlignment="1">
      <alignment horizontal="center" vertical="center" wrapText="1"/>
    </xf>
    <xf numFmtId="14" fontId="11" fillId="0" borderId="11" xfId="3" applyNumberFormat="1" applyBorder="1" applyAlignment="1">
      <alignment horizontal="center" vertical="center" wrapText="1"/>
    </xf>
    <xf numFmtId="0" fontId="11" fillId="0" borderId="14" xfId="3" applyBorder="1" applyAlignment="1">
      <alignment horizontal="center" vertical="center" wrapText="1"/>
    </xf>
    <xf numFmtId="0" fontId="11" fillId="0" borderId="25" xfId="3" applyBorder="1" applyAlignment="1">
      <alignment horizontal="center" vertical="center" wrapText="1"/>
    </xf>
    <xf numFmtId="0" fontId="11" fillId="0" borderId="23" xfId="3" applyBorder="1" applyAlignment="1" applyProtection="1">
      <alignment horizontal="center" vertical="center" wrapText="1"/>
      <protection locked="0"/>
    </xf>
    <xf numFmtId="0" fontId="11" fillId="0" borderId="23" xfId="3" applyBorder="1" applyAlignment="1">
      <alignment horizontal="center" vertical="center" wrapText="1"/>
    </xf>
    <xf numFmtId="9" fontId="11" fillId="0" borderId="23" xfId="3" applyNumberFormat="1" applyBorder="1" applyAlignment="1">
      <alignment horizontal="center" vertical="center" wrapText="1"/>
    </xf>
    <xf numFmtId="14" fontId="11" fillId="0" borderId="23" xfId="3" applyNumberFormat="1" applyBorder="1" applyAlignment="1">
      <alignment horizontal="center" vertical="center" wrapText="1"/>
    </xf>
    <xf numFmtId="0" fontId="11" fillId="0" borderId="26" xfId="3" applyBorder="1" applyAlignment="1">
      <alignment horizontal="center" vertical="center" wrapText="1"/>
    </xf>
    <xf numFmtId="0" fontId="11" fillId="0" borderId="15" xfId="3" applyBorder="1" applyAlignment="1">
      <alignment horizontal="center" vertical="center" wrapText="1"/>
    </xf>
    <xf numFmtId="0" fontId="11" fillId="0" borderId="16" xfId="3" applyBorder="1" applyAlignment="1" applyProtection="1">
      <alignment horizontal="left" vertical="center" wrapText="1"/>
      <protection locked="0"/>
    </xf>
    <xf numFmtId="0" fontId="11" fillId="0" borderId="16" xfId="3" applyBorder="1" applyAlignment="1">
      <alignment horizontal="left" vertical="center" wrapText="1"/>
    </xf>
    <xf numFmtId="0" fontId="11" fillId="0" borderId="16" xfId="3" applyBorder="1" applyAlignment="1">
      <alignment horizontal="center" vertical="center" wrapText="1"/>
    </xf>
    <xf numFmtId="14" fontId="11" fillId="0" borderId="16" xfId="3" applyNumberFormat="1" applyBorder="1" applyAlignment="1">
      <alignment horizontal="center" vertical="center" wrapText="1"/>
    </xf>
    <xf numFmtId="9" fontId="11" fillId="0" borderId="16" xfId="3" applyNumberFormat="1" applyBorder="1" applyAlignment="1">
      <alignment horizontal="center" vertical="center" wrapText="1"/>
    </xf>
    <xf numFmtId="0" fontId="11" fillId="0" borderId="17" xfId="3" applyBorder="1" applyAlignment="1">
      <alignment horizontal="left" vertical="center" wrapText="1"/>
    </xf>
    <xf numFmtId="0" fontId="11" fillId="2" borderId="0" xfId="3" applyFill="1" applyAlignment="1">
      <alignment horizontal="center" vertical="center" wrapText="1"/>
    </xf>
    <xf numFmtId="14" fontId="11" fillId="2" borderId="0" xfId="3" applyNumberFormat="1" applyFill="1" applyAlignment="1">
      <alignment horizontal="center" vertical="center" wrapText="1"/>
    </xf>
    <xf numFmtId="0" fontId="11" fillId="2" borderId="0" xfId="3" applyFill="1" applyAlignment="1">
      <alignment horizontal="left" vertical="center" wrapText="1"/>
    </xf>
    <xf numFmtId="0" fontId="8" fillId="5" borderId="25" xfId="3" applyFont="1" applyFill="1" applyBorder="1" applyAlignment="1">
      <alignment horizontal="center" vertical="center" wrapText="1"/>
    </xf>
    <xf numFmtId="14" fontId="8" fillId="5" borderId="26" xfId="3" applyNumberFormat="1" applyFont="1" applyFill="1" applyBorder="1" applyAlignment="1">
      <alignment horizontal="center" vertical="center" wrapText="1"/>
    </xf>
    <xf numFmtId="0" fontId="11" fillId="2" borderId="15" xfId="3" applyFill="1" applyBorder="1" applyAlignment="1" applyProtection="1">
      <alignment horizontal="center" vertical="center" wrapText="1"/>
      <protection locked="0"/>
    </xf>
    <xf numFmtId="0" fontId="11" fillId="2" borderId="17" xfId="3" applyFill="1" applyBorder="1" applyAlignment="1">
      <alignment horizontal="center" vertical="center" wrapText="1"/>
    </xf>
    <xf numFmtId="0" fontId="11" fillId="2" borderId="0" xfId="3" applyFill="1" applyAlignment="1" applyProtection="1">
      <alignment horizontal="left" vertical="center" wrapText="1"/>
      <protection locked="0"/>
    </xf>
    <xf numFmtId="0" fontId="13" fillId="2" borderId="0" xfId="3" applyFont="1" applyFill="1" applyAlignment="1">
      <alignment vertical="center" wrapText="1"/>
    </xf>
    <xf numFmtId="0" fontId="13" fillId="0" borderId="0" xfId="3" applyFont="1" applyAlignment="1">
      <alignment vertical="center" wrapText="1"/>
    </xf>
    <xf numFmtId="0" fontId="11" fillId="0" borderId="0" xfId="3" applyAlignment="1" applyProtection="1">
      <alignment horizontal="left" vertical="center" wrapText="1"/>
      <protection locked="0"/>
    </xf>
    <xf numFmtId="0" fontId="11" fillId="0" borderId="0" xfId="3" applyAlignment="1" applyProtection="1">
      <alignment horizontal="center" vertical="center" wrapText="1"/>
      <protection locked="0"/>
    </xf>
    <xf numFmtId="0" fontId="11" fillId="0" borderId="0" xfId="3" applyAlignment="1">
      <alignment horizontal="center" vertical="center" wrapText="1"/>
    </xf>
    <xf numFmtId="0" fontId="19" fillId="0" borderId="0" xfId="3" applyFont="1" applyAlignment="1">
      <alignment horizontal="left" vertical="center" wrapText="1"/>
    </xf>
    <xf numFmtId="0" fontId="19" fillId="0" borderId="0" xfId="3" applyFont="1" applyAlignment="1">
      <alignment horizontal="center" vertical="center"/>
    </xf>
    <xf numFmtId="0" fontId="19" fillId="0" borderId="0" xfId="3" applyFont="1" applyAlignment="1">
      <alignment vertical="center" wrapText="1"/>
    </xf>
    <xf numFmtId="0" fontId="11" fillId="0" borderId="11" xfId="3" applyBorder="1" applyAlignment="1">
      <alignment horizontal="left" vertical="center" wrapText="1"/>
    </xf>
    <xf numFmtId="0" fontId="11" fillId="0" borderId="14" xfId="3" applyBorder="1" applyAlignment="1">
      <alignment horizontal="left" vertical="center" wrapText="1"/>
    </xf>
    <xf numFmtId="0" fontId="11" fillId="0" borderId="23" xfId="3" applyBorder="1" applyAlignment="1" applyProtection="1">
      <alignment horizontal="left" vertical="center" wrapText="1"/>
      <protection locked="0"/>
    </xf>
    <xf numFmtId="0" fontId="11" fillId="0" borderId="23" xfId="3" applyBorder="1" applyAlignment="1">
      <alignment horizontal="left" vertical="center" wrapText="1"/>
    </xf>
    <xf numFmtId="0" fontId="11" fillId="0" borderId="26" xfId="3" applyBorder="1" applyAlignment="1">
      <alignment horizontal="left" vertical="center" wrapText="1"/>
    </xf>
    <xf numFmtId="0" fontId="19" fillId="5" borderId="0" xfId="3" applyFont="1" applyFill="1" applyAlignment="1">
      <alignment vertical="center"/>
    </xf>
    <xf numFmtId="0" fontId="19" fillId="5" borderId="40" xfId="3" applyFont="1" applyFill="1" applyBorder="1" applyAlignment="1">
      <alignment horizontal="center" vertical="center"/>
    </xf>
    <xf numFmtId="0" fontId="20" fillId="5" borderId="40" xfId="3" applyFont="1" applyFill="1" applyBorder="1" applyAlignment="1">
      <alignment horizontal="center" vertical="center"/>
    </xf>
    <xf numFmtId="0" fontId="19" fillId="5" borderId="40" xfId="3" applyFont="1" applyFill="1" applyBorder="1" applyAlignment="1">
      <alignment horizontal="left" vertical="center" wrapText="1"/>
    </xf>
    <xf numFmtId="0" fontId="11" fillId="0" borderId="0" xfId="3"/>
    <xf numFmtId="0" fontId="19" fillId="5" borderId="0" xfId="3" applyFont="1" applyFill="1" applyAlignment="1">
      <alignment horizontal="center" vertical="center"/>
    </xf>
    <xf numFmtId="0" fontId="22" fillId="5" borderId="0" xfId="3" applyFont="1" applyFill="1" applyAlignment="1">
      <alignment vertical="center"/>
    </xf>
    <xf numFmtId="0" fontId="23" fillId="5" borderId="0" xfId="3" applyFont="1" applyFill="1" applyAlignment="1">
      <alignment horizontal="right" vertical="center"/>
    </xf>
    <xf numFmtId="0" fontId="32" fillId="5" borderId="0" xfId="3" applyFont="1" applyFill="1" applyAlignment="1">
      <alignment horizontal="left" vertical="center" wrapText="1"/>
    </xf>
    <xf numFmtId="0" fontId="33" fillId="5" borderId="0" xfId="3" applyFont="1" applyFill="1" applyAlignment="1">
      <alignment horizontal="left" vertical="center" wrapText="1"/>
    </xf>
    <xf numFmtId="0" fontId="26" fillId="5" borderId="0" xfId="3" applyFont="1" applyFill="1" applyAlignment="1">
      <alignment horizontal="left" vertical="center"/>
    </xf>
    <xf numFmtId="0" fontId="22" fillId="5" borderId="0" xfId="3" applyFont="1" applyFill="1" applyAlignment="1">
      <alignment horizontal="left" vertical="center" wrapText="1"/>
    </xf>
    <xf numFmtId="0" fontId="22" fillId="5" borderId="0" xfId="3" applyFont="1" applyFill="1" applyAlignment="1">
      <alignment horizontal="right" vertical="center"/>
    </xf>
    <xf numFmtId="0" fontId="23" fillId="5" borderId="0" xfId="3" applyFont="1" applyFill="1" applyAlignment="1">
      <alignment horizontal="center" vertical="center"/>
    </xf>
    <xf numFmtId="0" fontId="34" fillId="5" borderId="0" xfId="3" applyFont="1" applyFill="1" applyAlignment="1">
      <alignment horizontal="left" vertical="center" wrapText="1"/>
    </xf>
    <xf numFmtId="0" fontId="27" fillId="5" borderId="0" xfId="3" applyFont="1" applyFill="1" applyAlignment="1">
      <alignment horizontal="left" vertical="center" wrapText="1"/>
    </xf>
    <xf numFmtId="0" fontId="26" fillId="5" borderId="0" xfId="3" applyFont="1" applyFill="1" applyAlignment="1">
      <alignment vertical="center" wrapText="1"/>
    </xf>
    <xf numFmtId="0" fontId="26" fillId="5" borderId="0" xfId="3" applyFont="1" applyFill="1" applyAlignment="1">
      <alignment vertical="center"/>
    </xf>
    <xf numFmtId="0" fontId="29" fillId="5" borderId="0" xfId="3" applyFont="1" applyFill="1" applyAlignment="1">
      <alignment vertical="center" wrapText="1"/>
    </xf>
    <xf numFmtId="0" fontId="29" fillId="5" borderId="0" xfId="3" applyFont="1" applyFill="1" applyAlignment="1">
      <alignment vertical="center"/>
    </xf>
    <xf numFmtId="0" fontId="19" fillId="5" borderId="0" xfId="3" applyFont="1" applyFill="1" applyAlignment="1">
      <alignment horizontal="left" vertical="center" wrapText="1"/>
    </xf>
    <xf numFmtId="0" fontId="8" fillId="5" borderId="0" xfId="3" applyFont="1" applyFill="1" applyAlignment="1">
      <alignment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9" fontId="8" fillId="0" borderId="11" xfId="3" applyNumberFormat="1" applyFont="1" applyBorder="1" applyAlignment="1">
      <alignment horizontal="center" vertical="center" wrapText="1"/>
    </xf>
    <xf numFmtId="14" fontId="8" fillId="0" borderId="11" xfId="3" applyNumberFormat="1" applyFont="1" applyBorder="1" applyAlignment="1">
      <alignment horizontal="center" vertical="center" wrapText="1"/>
    </xf>
    <xf numFmtId="0" fontId="8" fillId="0" borderId="14"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23" xfId="3" applyFont="1" applyBorder="1" applyAlignment="1">
      <alignment horizontal="center" vertical="center" wrapText="1"/>
    </xf>
    <xf numFmtId="9" fontId="8" fillId="0" borderId="23" xfId="3" applyNumberFormat="1" applyFont="1" applyBorder="1" applyAlignment="1">
      <alignment horizontal="center" vertical="center" wrapText="1"/>
    </xf>
    <xf numFmtId="14" fontId="8" fillId="0" borderId="23" xfId="3" applyNumberFormat="1" applyFont="1" applyBorder="1" applyAlignment="1">
      <alignment horizontal="center" vertical="center" wrapText="1"/>
    </xf>
    <xf numFmtId="0" fontId="8" fillId="0" borderId="26"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16" xfId="3" applyFont="1" applyBorder="1" applyAlignment="1">
      <alignment horizontal="center" vertical="center" wrapText="1"/>
    </xf>
    <xf numFmtId="14" fontId="8" fillId="0" borderId="16" xfId="3" applyNumberFormat="1" applyFont="1" applyBorder="1" applyAlignment="1">
      <alignment horizontal="center" vertical="center" wrapText="1"/>
    </xf>
    <xf numFmtId="0" fontId="8" fillId="0" borderId="17" xfId="3" applyFont="1" applyBorder="1" applyAlignment="1">
      <alignment horizontal="left" vertical="center" wrapText="1"/>
    </xf>
    <xf numFmtId="0" fontId="8" fillId="5" borderId="0" xfId="3" applyFont="1" applyFill="1" applyAlignment="1">
      <alignment horizontal="center" vertical="center" wrapText="1"/>
    </xf>
    <xf numFmtId="14" fontId="8" fillId="5" borderId="0" xfId="3" applyNumberFormat="1" applyFont="1" applyFill="1" applyAlignment="1">
      <alignment horizontal="center" vertical="center" wrapText="1"/>
    </xf>
    <xf numFmtId="0" fontId="8" fillId="5" borderId="0" xfId="3" applyFont="1" applyFill="1" applyAlignment="1">
      <alignment horizontal="left" vertical="center" wrapText="1"/>
    </xf>
    <xf numFmtId="0" fontId="8" fillId="5" borderId="15" xfId="3" applyFont="1" applyFill="1" applyBorder="1" applyAlignment="1">
      <alignment horizontal="center" vertical="center" wrapText="1"/>
    </xf>
    <xf numFmtId="0" fontId="8" fillId="5" borderId="17" xfId="3" applyFont="1" applyFill="1" applyBorder="1" applyAlignment="1">
      <alignment horizontal="center" vertical="center" wrapText="1"/>
    </xf>
    <xf numFmtId="0" fontId="13" fillId="5" borderId="0" xfId="3" applyFont="1" applyFill="1" applyAlignment="1">
      <alignment vertical="center" wrapText="1"/>
    </xf>
    <xf numFmtId="0" fontId="8" fillId="0" borderId="0" xfId="3" applyFont="1" applyAlignment="1">
      <alignment horizontal="left" vertical="center" wrapText="1"/>
    </xf>
    <xf numFmtId="0" fontId="8" fillId="0" borderId="0" xfId="3" applyFont="1" applyAlignment="1">
      <alignment horizontal="center" vertical="center" wrapText="1"/>
    </xf>
    <xf numFmtId="0" fontId="8" fillId="0" borderId="0" xfId="3" applyFont="1" applyAlignment="1">
      <alignment vertical="center"/>
    </xf>
    <xf numFmtId="9" fontId="3" fillId="0" borderId="11" xfId="6" applyFont="1" applyFill="1" applyBorder="1" applyAlignment="1" applyProtection="1">
      <alignment horizontal="center" vertical="center" wrapText="1"/>
    </xf>
    <xf numFmtId="9" fontId="3" fillId="0" borderId="23" xfId="6" applyFont="1" applyFill="1" applyBorder="1" applyAlignment="1" applyProtection="1">
      <alignment horizontal="center" vertical="center" wrapText="1"/>
    </xf>
    <xf numFmtId="0" fontId="20" fillId="5" borderId="0" xfId="3" applyFont="1" applyFill="1" applyAlignment="1">
      <alignment horizontal="right" vertical="center"/>
    </xf>
    <xf numFmtId="0" fontId="37" fillId="5" borderId="0" xfId="3" applyFont="1" applyFill="1" applyAlignment="1">
      <alignment horizontal="left" vertical="center" wrapText="1"/>
    </xf>
    <xf numFmtId="0" fontId="38" fillId="5" borderId="0" xfId="3" applyFont="1" applyFill="1" applyAlignment="1">
      <alignment horizontal="left" vertical="center" wrapText="1"/>
    </xf>
    <xf numFmtId="0" fontId="29" fillId="5" borderId="0" xfId="3" applyFont="1" applyFill="1" applyAlignment="1">
      <alignment horizontal="left" vertical="center"/>
    </xf>
    <xf numFmtId="0" fontId="11"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8" fillId="2" borderId="11" xfId="0" applyNumberFormat="1" applyFont="1" applyFill="1" applyBorder="1" applyAlignment="1">
      <alignment horizontal="center" vertical="center" wrapText="1"/>
    </xf>
    <xf numFmtId="14" fontId="8" fillId="2" borderId="11" xfId="3" applyNumberFormat="1" applyFont="1" applyFill="1" applyBorder="1" applyAlignment="1">
      <alignment horizontal="center" vertical="center" wrapText="1"/>
    </xf>
    <xf numFmtId="0" fontId="8" fillId="2" borderId="14" xfId="3" applyFont="1" applyFill="1" applyBorder="1" applyAlignment="1">
      <alignment horizontal="center" vertical="center" wrapText="1"/>
    </xf>
    <xf numFmtId="0" fontId="11" fillId="2" borderId="23" xfId="0" applyFont="1" applyFill="1" applyBorder="1" applyAlignment="1">
      <alignment horizontal="center" vertical="center" wrapText="1"/>
    </xf>
    <xf numFmtId="0" fontId="3" fillId="2" borderId="23" xfId="0" applyFont="1" applyFill="1" applyBorder="1" applyAlignment="1">
      <alignment horizontal="center" vertical="center" wrapText="1"/>
    </xf>
    <xf numFmtId="14" fontId="8" fillId="2" borderId="23" xfId="3" applyNumberFormat="1" applyFont="1" applyFill="1" applyBorder="1" applyAlignment="1">
      <alignment horizontal="center" vertical="center" wrapText="1"/>
    </xf>
    <xf numFmtId="0" fontId="8" fillId="2" borderId="26" xfId="3" applyFont="1" applyFill="1" applyBorder="1" applyAlignment="1">
      <alignment horizontal="center" vertical="center" wrapText="1"/>
    </xf>
    <xf numFmtId="0" fontId="8" fillId="0" borderId="16" xfId="3" applyFont="1" applyBorder="1" applyAlignment="1">
      <alignment horizontal="left" vertical="center" wrapText="1"/>
    </xf>
    <xf numFmtId="0" fontId="13" fillId="7" borderId="25" xfId="4" applyFont="1" applyFill="1" applyBorder="1" applyAlignment="1">
      <alignment horizontal="center" vertical="center" wrapText="1"/>
    </xf>
    <xf numFmtId="0" fontId="13" fillId="7" borderId="23" xfId="4" applyFont="1" applyFill="1" applyBorder="1" applyAlignment="1" applyProtection="1">
      <alignment horizontal="center" vertical="center" wrapText="1"/>
      <protection locked="0"/>
    </xf>
    <xf numFmtId="0" fontId="13" fillId="7" borderId="23" xfId="4" applyFont="1" applyFill="1" applyBorder="1" applyAlignment="1" applyProtection="1">
      <alignment horizontal="left" vertical="center" wrapText="1"/>
      <protection locked="0"/>
    </xf>
    <xf numFmtId="0" fontId="15" fillId="6" borderId="23" xfId="3" applyFont="1" applyFill="1" applyBorder="1" applyAlignment="1">
      <alignment vertical="center" wrapText="1"/>
    </xf>
    <xf numFmtId="0" fontId="15" fillId="6" borderId="16" xfId="3" applyFont="1" applyFill="1" applyBorder="1" applyAlignment="1">
      <alignment horizontal="center" vertical="center" wrapText="1"/>
    </xf>
    <xf numFmtId="0" fontId="30" fillId="6" borderId="25" xfId="3" applyFont="1" applyFill="1" applyBorder="1" applyAlignment="1" applyProtection="1">
      <alignment horizontal="center" vertical="center" wrapText="1"/>
      <protection locked="0"/>
    </xf>
    <xf numFmtId="0" fontId="30" fillId="6" borderId="26" xfId="3" applyFont="1" applyFill="1" applyBorder="1" applyAlignment="1">
      <alignment horizontal="center" vertical="center" wrapText="1"/>
    </xf>
    <xf numFmtId="0" fontId="15" fillId="6" borderId="23" xfId="3" applyFont="1" applyFill="1" applyBorder="1" applyAlignment="1">
      <alignment horizontal="center" vertical="center" wrapText="1"/>
    </xf>
    <xf numFmtId="0" fontId="35" fillId="8" borderId="23" xfId="3" applyFont="1" applyFill="1" applyBorder="1" applyAlignment="1">
      <alignment horizontal="center" vertical="center" wrapText="1"/>
    </xf>
    <xf numFmtId="0" fontId="35" fillId="8" borderId="16" xfId="3" applyFont="1" applyFill="1" applyBorder="1" applyAlignment="1">
      <alignment horizontal="center" vertical="center" wrapText="1"/>
    </xf>
    <xf numFmtId="0" fontId="35" fillId="9" borderId="25" xfId="3" applyFont="1" applyFill="1" applyBorder="1" applyAlignment="1">
      <alignment horizontal="center" vertical="center" wrapText="1"/>
    </xf>
    <xf numFmtId="0" fontId="35" fillId="9" borderId="26" xfId="3" applyFont="1" applyFill="1" applyBorder="1" applyAlignment="1">
      <alignment horizontal="center" vertical="center" wrapText="1"/>
    </xf>
    <xf numFmtId="0" fontId="35" fillId="8" borderId="23" xfId="3" applyFont="1" applyFill="1" applyBorder="1" applyAlignment="1">
      <alignment vertical="center" wrapText="1"/>
    </xf>
    <xf numFmtId="10" fontId="35" fillId="10" borderId="16" xfId="3" applyNumberFormat="1" applyFont="1" applyFill="1" applyBorder="1" applyAlignment="1">
      <alignment horizontal="center" vertical="center" wrapText="1"/>
    </xf>
    <xf numFmtId="10" fontId="15" fillId="11" borderId="16" xfId="6" applyNumberFormat="1" applyFont="1" applyFill="1" applyBorder="1" applyAlignment="1" applyProtection="1">
      <alignment horizontal="center" vertical="center" wrapText="1"/>
    </xf>
    <xf numFmtId="0" fontId="0" fillId="0" borderId="0" xfId="0" applyAlignment="1">
      <alignment vertical="center"/>
    </xf>
    <xf numFmtId="0" fontId="40" fillId="0" borderId="0" xfId="7"/>
    <xf numFmtId="0" fontId="0" fillId="0" borderId="23" xfId="0" applyBorder="1" applyAlignment="1">
      <alignment horizontal="center" vertical="center"/>
    </xf>
    <xf numFmtId="0" fontId="39" fillId="4" borderId="23" xfId="0" applyFont="1" applyFill="1" applyBorder="1" applyAlignment="1">
      <alignment vertical="center"/>
    </xf>
    <xf numFmtId="0" fontId="39" fillId="4" borderId="24" xfId="0" applyFont="1" applyFill="1" applyBorder="1" applyAlignment="1">
      <alignment wrapText="1"/>
    </xf>
    <xf numFmtId="0" fontId="0" fillId="0" borderId="24" xfId="0" applyBorder="1" applyAlignment="1">
      <alignment wrapText="1"/>
    </xf>
    <xf numFmtId="0" fontId="39" fillId="4" borderId="23" xfId="0" applyFont="1" applyFill="1" applyBorder="1"/>
    <xf numFmtId="0" fontId="0" fillId="0" borderId="24" xfId="0" applyBorder="1" applyAlignment="1">
      <alignment vertical="center" wrapText="1"/>
    </xf>
    <xf numFmtId="0" fontId="0" fillId="0" borderId="23" xfId="0" applyBorder="1" applyAlignment="1">
      <alignment horizontal="center" vertical="center" wrapText="1"/>
    </xf>
    <xf numFmtId="0" fontId="0" fillId="0" borderId="0" xfId="0" applyAlignment="1">
      <alignment horizontal="left"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0" fillId="0" borderId="14"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39" fillId="0" borderId="0" xfId="0" applyFont="1"/>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0" fillId="0" borderId="0" xfId="0" applyAlignment="1">
      <alignment horizontal="center" vertical="center"/>
    </xf>
    <xf numFmtId="0" fontId="0" fillId="0" borderId="10" xfId="0" applyBorder="1" applyAlignment="1">
      <alignment vertical="center" wrapText="1"/>
    </xf>
    <xf numFmtId="0" fontId="0" fillId="0" borderId="1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4" fillId="2" borderId="25" xfId="0" applyFont="1" applyFill="1" applyBorder="1" applyAlignment="1">
      <alignment horizontal="right" vertical="center" wrapText="1"/>
    </xf>
    <xf numFmtId="0" fontId="8" fillId="0" borderId="23"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xf>
    <xf numFmtId="0" fontId="3" fillId="2" borderId="0" xfId="0" applyFont="1" applyFill="1" applyAlignment="1">
      <alignment horizontal="left"/>
    </xf>
    <xf numFmtId="0" fontId="3" fillId="0" borderId="0" xfId="0" applyFont="1" applyAlignment="1">
      <alignment horizontal="left"/>
    </xf>
    <xf numFmtId="0" fontId="3" fillId="0" borderId="15" xfId="0" applyFont="1" applyBorder="1" applyAlignment="1">
      <alignment horizontal="left" vertical="center" wrapText="1"/>
    </xf>
    <xf numFmtId="0" fontId="3" fillId="0" borderId="0" xfId="0" applyFont="1" applyFill="1"/>
    <xf numFmtId="0" fontId="5" fillId="0" borderId="0" xfId="0" applyFont="1" applyFill="1"/>
    <xf numFmtId="0" fontId="7" fillId="0" borderId="0" xfId="0" applyFont="1" applyFill="1"/>
    <xf numFmtId="0" fontId="8" fillId="0" borderId="0" xfId="0" applyFont="1" applyFill="1"/>
    <xf numFmtId="0" fontId="8" fillId="0" borderId="0" xfId="0" applyFont="1" applyFill="1" applyAlignment="1">
      <alignment vertical="center"/>
    </xf>
    <xf numFmtId="0" fontId="6" fillId="0" borderId="0" xfId="0" applyFont="1" applyFill="1" applyAlignment="1">
      <alignment horizontal="left" vertical="center" wrapText="1"/>
    </xf>
    <xf numFmtId="0" fontId="3" fillId="0" borderId="0" xfId="0" applyFont="1" applyFill="1" applyAlignment="1">
      <alignment horizontal="center"/>
    </xf>
    <xf numFmtId="0" fontId="3" fillId="0" borderId="0" xfId="0" applyFont="1" applyFill="1" applyBorder="1" applyAlignment="1">
      <alignment horizontal="left" vertical="center" wrapText="1"/>
    </xf>
    <xf numFmtId="0" fontId="3" fillId="0" borderId="11" xfId="0" applyFont="1" applyBorder="1" applyAlignment="1">
      <alignment horizontal="center" vertical="center" wrapText="1"/>
    </xf>
    <xf numFmtId="0" fontId="15" fillId="6" borderId="23"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27" fillId="2" borderId="0" xfId="3" applyFont="1" applyFill="1" applyAlignment="1">
      <alignment horizontal="left" vertical="center" wrapText="1"/>
    </xf>
    <xf numFmtId="0" fontId="3" fillId="0" borderId="23" xfId="0" applyFont="1" applyBorder="1" applyAlignment="1">
      <alignment horizontal="center" vertical="center" wrapText="1"/>
    </xf>
    <xf numFmtId="0" fontId="12" fillId="2" borderId="0" xfId="3" applyFont="1" applyFill="1" applyAlignment="1">
      <alignment horizontal="center" vertical="center" wrapText="1"/>
    </xf>
    <xf numFmtId="0" fontId="10" fillId="2" borderId="0" xfId="3" applyFont="1" applyFill="1" applyAlignment="1">
      <alignment horizontal="left" vertical="center" wrapText="1"/>
    </xf>
    <xf numFmtId="14" fontId="10" fillId="0" borderId="0" xfId="3" applyNumberFormat="1" applyFont="1" applyAlignment="1">
      <alignment horizontal="left" vertical="center" wrapText="1"/>
    </xf>
    <xf numFmtId="17" fontId="30" fillId="12" borderId="25" xfId="4" applyNumberFormat="1" applyFont="1" applyFill="1" applyBorder="1" applyAlignment="1">
      <alignment horizontal="center" vertical="center" wrapText="1"/>
    </xf>
    <xf numFmtId="17" fontId="30" fillId="12" borderId="23" xfId="4" applyNumberFormat="1" applyFont="1" applyFill="1" applyBorder="1" applyAlignment="1">
      <alignment horizontal="center" vertical="center" wrapText="1"/>
    </xf>
    <xf numFmtId="17" fontId="30" fillId="12" borderId="24" xfId="4" applyNumberFormat="1" applyFont="1" applyFill="1" applyBorder="1" applyAlignment="1">
      <alignment horizontal="center" vertical="center" wrapText="1"/>
    </xf>
    <xf numFmtId="0" fontId="15" fillId="6" borderId="47" xfId="3" applyFont="1" applyFill="1" applyBorder="1" applyAlignment="1">
      <alignment horizontal="center" vertical="center" wrapText="1"/>
    </xf>
    <xf numFmtId="0" fontId="15" fillId="6" borderId="48" xfId="3" applyFont="1" applyFill="1" applyBorder="1" applyAlignment="1">
      <alignment horizontal="center" vertical="center" wrapText="1"/>
    </xf>
    <xf numFmtId="10" fontId="15" fillId="12" borderId="15" xfId="3" applyNumberFormat="1" applyFont="1" applyFill="1" applyBorder="1" applyAlignment="1">
      <alignment horizontal="center" vertical="center" wrapText="1"/>
    </xf>
    <xf numFmtId="10" fontId="15" fillId="12" borderId="16" xfId="3" applyNumberFormat="1" applyFont="1" applyFill="1" applyBorder="1" applyAlignment="1">
      <alignment horizontal="center" vertical="center" wrapText="1"/>
    </xf>
    <xf numFmtId="10" fontId="15" fillId="12" borderId="18" xfId="3" applyNumberFormat="1" applyFont="1" applyFill="1" applyBorder="1" applyAlignment="1">
      <alignment horizontal="center" vertical="center" wrapText="1"/>
    </xf>
    <xf numFmtId="10" fontId="30" fillId="12" borderId="49" xfId="4" applyNumberFormat="1" applyFont="1" applyFill="1" applyBorder="1" applyAlignment="1">
      <alignment horizontal="center" vertical="center"/>
    </xf>
    <xf numFmtId="9" fontId="4" fillId="7" borderId="24" xfId="5" applyFont="1" applyFill="1" applyBorder="1" applyAlignment="1" applyProtection="1">
      <alignment horizontal="center" vertical="center" wrapText="1"/>
    </xf>
    <xf numFmtId="14" fontId="13" fillId="7" borderId="25" xfId="5" applyNumberFormat="1" applyFont="1" applyFill="1" applyBorder="1" applyAlignment="1" applyProtection="1">
      <alignment horizontal="center" vertical="center" wrapText="1"/>
    </xf>
    <xf numFmtId="14" fontId="13" fillId="7" borderId="26" xfId="5" applyNumberFormat="1" applyFont="1" applyFill="1" applyBorder="1" applyAlignment="1" applyProtection="1">
      <alignment horizontal="center" vertical="center" wrapText="1"/>
    </xf>
    <xf numFmtId="10" fontId="13" fillId="13" borderId="25" xfId="2" applyNumberFormat="1" applyFont="1" applyFill="1" applyBorder="1" applyAlignment="1">
      <alignment horizontal="center" vertical="center" wrapText="1"/>
    </xf>
    <xf numFmtId="10" fontId="13" fillId="13" borderId="23" xfId="2" applyNumberFormat="1" applyFont="1" applyFill="1" applyBorder="1" applyAlignment="1">
      <alignment horizontal="center" vertical="center" wrapText="1"/>
    </xf>
    <xf numFmtId="10" fontId="13" fillId="13" borderId="24" xfId="2" applyNumberFormat="1" applyFont="1" applyFill="1" applyBorder="1" applyAlignment="1">
      <alignment horizontal="center" vertical="center" wrapText="1"/>
    </xf>
    <xf numFmtId="10" fontId="13" fillId="13" borderId="45" xfId="4" applyNumberFormat="1" applyFont="1" applyFill="1" applyBorder="1" applyAlignment="1">
      <alignment horizontal="center" vertical="center"/>
    </xf>
    <xf numFmtId="9" fontId="16" fillId="0" borderId="24" xfId="5" applyFont="1" applyFill="1" applyBorder="1" applyAlignment="1" applyProtection="1">
      <alignment horizontal="center" vertical="center" wrapText="1"/>
    </xf>
    <xf numFmtId="14" fontId="16" fillId="0" borderId="25" xfId="5" applyNumberFormat="1" applyFont="1" applyFill="1" applyBorder="1" applyAlignment="1" applyProtection="1">
      <alignment horizontal="center" vertical="center" wrapText="1"/>
    </xf>
    <xf numFmtId="14" fontId="16" fillId="0" borderId="26" xfId="5" applyNumberFormat="1" applyFont="1" applyFill="1" applyBorder="1" applyAlignment="1" applyProtection="1">
      <alignment horizontal="center" vertical="center" wrapText="1"/>
    </xf>
    <xf numFmtId="10" fontId="8" fillId="2" borderId="25" xfId="2" applyNumberFormat="1" applyFont="1" applyFill="1" applyBorder="1" applyAlignment="1">
      <alignment horizontal="center" vertical="center" wrapText="1"/>
    </xf>
    <xf numFmtId="10" fontId="8" fillId="2" borderId="23" xfId="2" applyNumberFormat="1" applyFont="1" applyFill="1" applyBorder="1" applyAlignment="1">
      <alignment horizontal="center" vertical="center" wrapText="1"/>
    </xf>
    <xf numFmtId="10" fontId="8" fillId="2" borderId="24" xfId="2" applyNumberFormat="1" applyFont="1" applyFill="1" applyBorder="1" applyAlignment="1">
      <alignment horizontal="center" vertical="center" wrapText="1"/>
    </xf>
    <xf numFmtId="10" fontId="8" fillId="2" borderId="45" xfId="4" applyNumberFormat="1" applyFill="1" applyBorder="1" applyAlignment="1">
      <alignment horizontal="center" vertical="center"/>
    </xf>
    <xf numFmtId="10" fontId="8" fillId="0" borderId="25" xfId="2" applyNumberFormat="1" applyFont="1" applyFill="1" applyBorder="1" applyAlignment="1">
      <alignment horizontal="center" vertical="center" wrapText="1"/>
    </xf>
    <xf numFmtId="10" fontId="8" fillId="0" borderId="23" xfId="2" applyNumberFormat="1" applyFont="1" applyFill="1" applyBorder="1" applyAlignment="1">
      <alignment horizontal="center" vertical="center" wrapText="1"/>
    </xf>
    <xf numFmtId="10" fontId="8" fillId="0" borderId="24" xfId="2" applyNumberFormat="1" applyFont="1" applyFill="1" applyBorder="1" applyAlignment="1">
      <alignment horizontal="center" vertical="center" wrapText="1"/>
    </xf>
    <xf numFmtId="0" fontId="13" fillId="0" borderId="0" xfId="4" applyFont="1" applyAlignment="1">
      <alignment vertical="center"/>
    </xf>
    <xf numFmtId="9" fontId="13" fillId="7" borderId="24" xfId="5" applyFont="1" applyFill="1" applyBorder="1" applyAlignment="1" applyProtection="1">
      <alignment horizontal="center" vertical="center" wrapText="1"/>
    </xf>
    <xf numFmtId="0" fontId="16" fillId="2" borderId="23" xfId="4" applyFont="1" applyFill="1" applyBorder="1" applyAlignment="1">
      <alignment horizontal="left" vertical="center" wrapText="1"/>
    </xf>
    <xf numFmtId="0" fontId="16" fillId="2" borderId="23" xfId="4" applyFont="1" applyFill="1" applyBorder="1" applyAlignment="1" applyProtection="1">
      <alignment horizontal="left" vertical="center" wrapText="1"/>
      <protection locked="0"/>
    </xf>
    <xf numFmtId="0" fontId="16" fillId="2" borderId="23" xfId="4" applyFont="1" applyFill="1" applyBorder="1" applyAlignment="1" applyProtection="1">
      <alignment horizontal="center" vertical="center" wrapText="1"/>
      <protection locked="0"/>
    </xf>
    <xf numFmtId="9" fontId="16" fillId="2" borderId="24" xfId="5" applyFont="1" applyFill="1" applyBorder="1" applyAlignment="1" applyProtection="1">
      <alignment horizontal="center" vertical="center" wrapText="1"/>
    </xf>
    <xf numFmtId="14" fontId="16" fillId="2" borderId="25" xfId="5" applyNumberFormat="1" applyFont="1" applyFill="1" applyBorder="1" applyAlignment="1" applyProtection="1">
      <alignment horizontal="center" vertical="center" wrapText="1"/>
    </xf>
    <xf numFmtId="14" fontId="16" fillId="2" borderId="26" xfId="5" applyNumberFormat="1" applyFont="1" applyFill="1" applyBorder="1" applyAlignment="1" applyProtection="1">
      <alignment horizontal="center" vertical="center" wrapText="1"/>
    </xf>
    <xf numFmtId="10" fontId="8" fillId="0" borderId="45" xfId="4" applyNumberFormat="1" applyBorder="1" applyAlignment="1">
      <alignment horizontal="center" vertical="center"/>
    </xf>
    <xf numFmtId="9" fontId="16" fillId="0" borderId="18" xfId="5" applyFont="1" applyFill="1" applyBorder="1" applyAlignment="1" applyProtection="1">
      <alignment horizontal="center" vertical="center" wrapText="1"/>
    </xf>
    <xf numFmtId="14" fontId="16" fillId="0" borderId="15" xfId="5" applyNumberFormat="1" applyFont="1" applyFill="1" applyBorder="1" applyAlignment="1" applyProtection="1">
      <alignment horizontal="center" vertical="center" wrapText="1"/>
    </xf>
    <xf numFmtId="14" fontId="16" fillId="0" borderId="17" xfId="5" applyNumberFormat="1" applyFont="1" applyFill="1" applyBorder="1" applyAlignment="1" applyProtection="1">
      <alignment horizontal="center" vertical="center" wrapText="1"/>
    </xf>
    <xf numFmtId="10" fontId="8" fillId="2" borderId="15" xfId="2" applyNumberFormat="1" applyFont="1" applyFill="1" applyBorder="1" applyAlignment="1">
      <alignment horizontal="center" vertical="center" wrapText="1"/>
    </xf>
    <xf numFmtId="10" fontId="8" fillId="2" borderId="16" xfId="2" applyNumberFormat="1" applyFont="1" applyFill="1" applyBorder="1" applyAlignment="1">
      <alignment horizontal="center" vertical="center" wrapText="1"/>
    </xf>
    <xf numFmtId="10" fontId="8" fillId="2" borderId="18" xfId="2" applyNumberFormat="1" applyFont="1" applyFill="1" applyBorder="1" applyAlignment="1">
      <alignment horizontal="center" vertical="center" wrapText="1"/>
    </xf>
    <xf numFmtId="10" fontId="8" fillId="2" borderId="49" xfId="4" applyNumberFormat="1" applyFill="1" applyBorder="1" applyAlignment="1">
      <alignment horizontal="center" vertical="center"/>
    </xf>
    <xf numFmtId="0" fontId="13" fillId="0" borderId="0" xfId="4" applyFont="1" applyAlignment="1">
      <alignment vertical="center" wrapText="1"/>
    </xf>
    <xf numFmtId="0" fontId="13" fillId="0" borderId="0" xfId="4" applyFont="1" applyAlignment="1">
      <alignment horizontal="left" vertical="center" wrapText="1"/>
    </xf>
    <xf numFmtId="10" fontId="15" fillId="4" borderId="16" xfId="6" applyNumberFormat="1" applyFont="1" applyFill="1" applyBorder="1" applyAlignment="1" applyProtection="1">
      <alignment horizontal="center" vertical="center" wrapText="1"/>
    </xf>
    <xf numFmtId="0" fontId="11" fillId="0" borderId="11" xfId="3" applyBorder="1" applyAlignment="1" applyProtection="1">
      <alignment horizontal="left" vertical="center" wrapText="1"/>
      <protection locked="0"/>
    </xf>
    <xf numFmtId="9" fontId="3" fillId="0" borderId="16" xfId="6" applyFont="1" applyFill="1" applyBorder="1" applyAlignment="1" applyProtection="1">
      <alignment horizontal="center" vertical="center" wrapText="1"/>
    </xf>
    <xf numFmtId="0" fontId="30" fillId="6" borderId="15" xfId="3" applyFont="1" applyFill="1" applyBorder="1" applyAlignment="1" applyProtection="1">
      <alignment horizontal="center" vertical="center" wrapText="1"/>
      <protection locked="0"/>
    </xf>
    <xf numFmtId="0" fontId="30" fillId="6" borderId="17" xfId="3" applyFont="1" applyFill="1" applyBorder="1" applyAlignment="1">
      <alignment horizontal="center" vertical="center" wrapText="1"/>
    </xf>
    <xf numFmtId="0" fontId="8" fillId="5" borderId="10" xfId="3" applyFont="1" applyFill="1" applyBorder="1" applyAlignment="1">
      <alignment horizontal="center" vertical="center" wrapText="1"/>
    </xf>
    <xf numFmtId="14" fontId="8" fillId="5" borderId="14" xfId="3" applyNumberFormat="1" applyFont="1" applyFill="1" applyBorder="1" applyAlignment="1">
      <alignment horizontal="center" vertical="center" wrapText="1"/>
    </xf>
    <xf numFmtId="0" fontId="3" fillId="0" borderId="16" xfId="0" applyFont="1" applyBorder="1" applyAlignment="1">
      <alignment horizontal="center" vertical="center" wrapText="1"/>
    </xf>
    <xf numFmtId="0" fontId="8" fillId="0" borderId="45" xfId="0" applyFont="1" applyBorder="1" applyAlignment="1">
      <alignment horizontal="center" vertical="center" wrapText="1"/>
    </xf>
    <xf numFmtId="0" fontId="3" fillId="2" borderId="45"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wrapText="1"/>
    </xf>
    <xf numFmtId="0" fontId="8" fillId="2" borderId="45"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vertical="center"/>
    </xf>
    <xf numFmtId="0" fontId="8" fillId="2" borderId="22" xfId="0" applyFont="1" applyFill="1" applyBorder="1" applyAlignment="1">
      <alignment vertical="center" wrapText="1"/>
    </xf>
    <xf numFmtId="0" fontId="8" fillId="2" borderId="23" xfId="0" applyFont="1" applyFill="1" applyBorder="1" applyAlignment="1">
      <alignment vertical="center" wrapText="1"/>
    </xf>
    <xf numFmtId="0" fontId="9" fillId="2" borderId="23" xfId="0" applyFont="1" applyFill="1" applyBorder="1" applyAlignment="1">
      <alignment vertical="center" wrapText="1"/>
    </xf>
    <xf numFmtId="0" fontId="3" fillId="2" borderId="22" xfId="0" applyFont="1" applyFill="1" applyBorder="1" applyAlignment="1">
      <alignment vertical="center" wrapText="1"/>
    </xf>
    <xf numFmtId="0" fontId="9" fillId="2" borderId="22" xfId="0" applyFont="1" applyFill="1" applyBorder="1" applyAlignment="1">
      <alignment vertical="center" wrapText="1"/>
    </xf>
    <xf numFmtId="0" fontId="3" fillId="0" borderId="23" xfId="0" applyFont="1" applyFill="1" applyBorder="1" applyAlignment="1">
      <alignment vertical="center" wrapText="1"/>
    </xf>
    <xf numFmtId="9" fontId="3" fillId="0" borderId="23" xfId="2" applyFont="1" applyFill="1" applyBorder="1" applyAlignment="1">
      <alignment vertical="center" wrapText="1"/>
    </xf>
    <xf numFmtId="0" fontId="3" fillId="0" borderId="16" xfId="0" applyFont="1" applyBorder="1" applyAlignment="1">
      <alignment vertical="center" wrapText="1"/>
    </xf>
    <xf numFmtId="0" fontId="3" fillId="0" borderId="0" xfId="0" applyFont="1" applyAlignment="1">
      <alignment horizontal="center"/>
    </xf>
    <xf numFmtId="0" fontId="41" fillId="0" borderId="0" xfId="0" applyFont="1"/>
    <xf numFmtId="0" fontId="4" fillId="0" borderId="0" xfId="0" applyFont="1" applyAlignment="1">
      <alignment horizontal="center" vertical="center"/>
    </xf>
    <xf numFmtId="0" fontId="30" fillId="0" borderId="0" xfId="0" applyFont="1" applyAlignment="1">
      <alignment horizontal="center" vertical="center"/>
    </xf>
    <xf numFmtId="0" fontId="4" fillId="3" borderId="16"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7" xfId="0" applyFont="1" applyFill="1" applyBorder="1" applyAlignment="1">
      <alignment horizontal="center" vertical="center"/>
    </xf>
    <xf numFmtId="0" fontId="4" fillId="2" borderId="23" xfId="0" applyFont="1" applyFill="1" applyBorder="1" applyAlignment="1">
      <alignment horizontal="right" vertical="center" wrapText="1"/>
    </xf>
    <xf numFmtId="0" fontId="9" fillId="2" borderId="22" xfId="0" applyFont="1" applyFill="1" applyBorder="1" applyAlignment="1">
      <alignment horizontal="left" vertical="center" wrapText="1"/>
    </xf>
    <xf numFmtId="0" fontId="8" fillId="0" borderId="22" xfId="0" applyFont="1" applyBorder="1" applyAlignment="1">
      <alignment horizontal="left" vertical="center" wrapText="1"/>
    </xf>
    <xf numFmtId="0" fontId="8" fillId="2" borderId="22" xfId="0" applyFont="1" applyFill="1" applyBorder="1" applyAlignment="1">
      <alignment horizontal="left" vertical="center" wrapText="1"/>
    </xf>
    <xf numFmtId="0" fontId="3" fillId="2" borderId="22" xfId="0" applyFont="1" applyFill="1" applyBorder="1" applyAlignment="1">
      <alignment horizontal="left" vertical="center" wrapText="1"/>
    </xf>
    <xf numFmtId="165" fontId="8" fillId="2" borderId="26" xfId="1" applyNumberFormat="1" applyFont="1" applyFill="1" applyBorder="1" applyAlignment="1">
      <alignment horizontal="center" vertical="center" wrapText="1"/>
    </xf>
    <xf numFmtId="165" fontId="3" fillId="0" borderId="26" xfId="1" applyNumberFormat="1" applyFont="1" applyFill="1" applyBorder="1" applyAlignment="1">
      <alignment horizontal="center" vertical="center" wrapText="1"/>
    </xf>
    <xf numFmtId="165" fontId="8" fillId="0" borderId="26" xfId="1" applyNumberFormat="1" applyFont="1" applyBorder="1" applyAlignment="1">
      <alignment horizontal="center" vertical="center" wrapText="1"/>
    </xf>
    <xf numFmtId="165" fontId="8" fillId="0" borderId="26" xfId="1" applyNumberFormat="1" applyFont="1" applyFill="1" applyBorder="1" applyAlignment="1">
      <alignment horizontal="center" vertical="center" wrapText="1"/>
    </xf>
    <xf numFmtId="165" fontId="8" fillId="2" borderId="26" xfId="1" applyNumberFormat="1" applyFont="1" applyFill="1" applyBorder="1" applyAlignment="1">
      <alignment horizontal="center" vertical="center"/>
    </xf>
    <xf numFmtId="165" fontId="3" fillId="2" borderId="26" xfId="1" applyNumberFormat="1" applyFont="1" applyFill="1" applyBorder="1" applyAlignment="1">
      <alignment horizontal="center" vertical="center" wrapText="1"/>
    </xf>
    <xf numFmtId="165" fontId="9" fillId="2" borderId="26" xfId="1" applyNumberFormat="1" applyFont="1" applyFill="1" applyBorder="1" applyAlignment="1">
      <alignment horizontal="center" vertical="center" wrapText="1"/>
    </xf>
    <xf numFmtId="165" fontId="3" fillId="0" borderId="17" xfId="1" applyNumberFormat="1" applyFont="1" applyBorder="1" applyAlignment="1">
      <alignment horizontal="center" vertical="center"/>
    </xf>
    <xf numFmtId="0" fontId="3" fillId="0" borderId="19" xfId="0" applyFont="1" applyBorder="1" applyAlignment="1">
      <alignment horizontal="left" vertical="center"/>
    </xf>
    <xf numFmtId="9" fontId="3" fillId="0" borderId="23" xfId="2" applyFont="1" applyBorder="1" applyAlignment="1">
      <alignment horizontal="left" vertical="center" wrapText="1"/>
    </xf>
    <xf numFmtId="164" fontId="3" fillId="0" borderId="23" xfId="1" applyFont="1" applyBorder="1" applyAlignment="1">
      <alignment horizontal="left" vertical="center" wrapText="1"/>
    </xf>
    <xf numFmtId="10" fontId="3" fillId="0" borderId="23" xfId="2" applyNumberFormat="1" applyFont="1" applyBorder="1" applyAlignment="1">
      <alignment horizontal="left" vertical="center" wrapText="1"/>
    </xf>
    <xf numFmtId="9" fontId="3" fillId="0" borderId="23" xfId="2" applyNumberFormat="1" applyFont="1" applyBorder="1" applyAlignment="1">
      <alignment horizontal="left" vertical="center" wrapText="1"/>
    </xf>
    <xf numFmtId="9" fontId="3" fillId="0" borderId="23" xfId="0" applyNumberFormat="1" applyFont="1" applyBorder="1" applyAlignment="1">
      <alignment horizontal="left" vertical="center" wrapText="1"/>
    </xf>
    <xf numFmtId="0" fontId="3" fillId="0" borderId="56" xfId="0" applyFont="1" applyBorder="1" applyAlignment="1">
      <alignment horizontal="left" vertical="center" wrapText="1"/>
    </xf>
    <xf numFmtId="0" fontId="8" fillId="0" borderId="57" xfId="0" applyFont="1" applyBorder="1" applyAlignment="1">
      <alignment horizontal="center" vertical="center" wrapText="1"/>
    </xf>
    <xf numFmtId="0" fontId="8" fillId="0" borderId="23" xfId="0" applyFont="1" applyBorder="1" applyAlignment="1">
      <alignment vertical="center" wrapText="1"/>
    </xf>
    <xf numFmtId="10" fontId="3" fillId="2" borderId="23" xfId="2" applyNumberFormat="1" applyFont="1" applyFill="1" applyBorder="1" applyAlignment="1">
      <alignment horizontal="center" vertical="center"/>
    </xf>
    <xf numFmtId="2" fontId="8" fillId="0" borderId="23" xfId="0" applyNumberFormat="1" applyFont="1" applyBorder="1" applyAlignment="1">
      <alignment horizontal="center" vertical="center" wrapText="1"/>
    </xf>
    <xf numFmtId="0" fontId="39" fillId="0" borderId="0" xfId="0" applyFont="1" applyAlignment="1">
      <alignment horizontal="center" vertical="center"/>
    </xf>
    <xf numFmtId="0" fontId="39" fillId="0" borderId="23" xfId="0" applyFont="1" applyBorder="1" applyAlignment="1">
      <alignment horizontal="center" vertical="center"/>
    </xf>
    <xf numFmtId="0" fontId="4" fillId="14" borderId="5" xfId="0" applyFont="1" applyFill="1" applyBorder="1" applyAlignment="1">
      <alignment horizontal="center" vertical="center"/>
    </xf>
    <xf numFmtId="0" fontId="4" fillId="16" borderId="58" xfId="0" applyFont="1" applyFill="1" applyBorder="1" applyAlignment="1">
      <alignment horizontal="center" vertical="center"/>
    </xf>
    <xf numFmtId="0" fontId="4" fillId="15" borderId="58" xfId="0" applyFont="1" applyFill="1" applyBorder="1" applyAlignment="1">
      <alignment horizontal="center" vertical="center"/>
    </xf>
    <xf numFmtId="0" fontId="3" fillId="0" borderId="44"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vertical="center" wrapText="1"/>
    </xf>
    <xf numFmtId="0" fontId="4" fillId="0" borderId="49" xfId="0" applyFont="1" applyFill="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9" fillId="0" borderId="0" xfId="0" applyFont="1" applyAlignment="1">
      <alignment horizontal="center"/>
    </xf>
    <xf numFmtId="9" fontId="39" fillId="0" borderId="0" xfId="2" applyFont="1" applyAlignment="1">
      <alignment horizontal="center" vertical="center"/>
    </xf>
    <xf numFmtId="10" fontId="1" fillId="0" borderId="23" xfId="2" applyNumberFormat="1" applyFont="1" applyBorder="1" applyAlignment="1">
      <alignment horizontal="center" vertical="center"/>
    </xf>
    <xf numFmtId="0" fontId="4" fillId="14" borderId="24" xfId="0" applyFont="1" applyFill="1" applyBorder="1" applyAlignment="1">
      <alignment horizontal="center" vertical="center"/>
    </xf>
    <xf numFmtId="0" fontId="4" fillId="16" borderId="24" xfId="0" applyFont="1" applyFill="1" applyBorder="1" applyAlignment="1">
      <alignment horizontal="center" vertical="center"/>
    </xf>
    <xf numFmtId="0" fontId="4" fillId="15" borderId="24" xfId="0" applyFont="1" applyFill="1" applyBorder="1" applyAlignment="1">
      <alignment horizontal="center" vertical="center"/>
    </xf>
    <xf numFmtId="0" fontId="39" fillId="0" borderId="23" xfId="0" applyFont="1" applyBorder="1" applyAlignment="1">
      <alignment horizontal="center"/>
    </xf>
    <xf numFmtId="10" fontId="39" fillId="0" borderId="0" xfId="0" applyNumberFormat="1" applyFont="1" applyAlignment="1">
      <alignment horizontal="center" vertical="center"/>
    </xf>
    <xf numFmtId="0" fontId="8" fillId="0" borderId="23" xfId="0" applyFont="1" applyBorder="1" applyAlignment="1">
      <alignment vertical="center" wrapText="1"/>
    </xf>
    <xf numFmtId="0" fontId="8" fillId="0" borderId="0" xfId="0" applyFont="1" applyAlignment="1">
      <alignment horizontal="left" vertical="center" wrapText="1"/>
    </xf>
    <xf numFmtId="0" fontId="4" fillId="0" borderId="23" xfId="0" applyFont="1" applyBorder="1" applyAlignment="1">
      <alignment horizontal="center" vertical="center"/>
    </xf>
    <xf numFmtId="0" fontId="8" fillId="0" borderId="23" xfId="0" applyFont="1" applyBorder="1" applyAlignment="1">
      <alignment vertical="center" wrapText="1"/>
    </xf>
    <xf numFmtId="0" fontId="3" fillId="0" borderId="4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9" fontId="3" fillId="0" borderId="24" xfId="2" applyFont="1" applyBorder="1" applyAlignment="1">
      <alignment horizontal="center" vertical="center"/>
    </xf>
    <xf numFmtId="0" fontId="3" fillId="0" borderId="0" xfId="0" applyFont="1" applyAlignment="1">
      <alignment horizontal="center"/>
    </xf>
    <xf numFmtId="0" fontId="15" fillId="6" borderId="37" xfId="3" applyFont="1" applyFill="1" applyBorder="1" applyAlignment="1">
      <alignment horizontal="center" vertical="center" wrapText="1"/>
    </xf>
    <xf numFmtId="9" fontId="3" fillId="0" borderId="23" xfId="2" applyFont="1" applyBorder="1" applyAlignment="1">
      <alignment horizontal="center" vertical="center" wrapText="1"/>
    </xf>
    <xf numFmtId="0" fontId="3" fillId="0" borderId="0" xfId="0" applyFont="1" applyAlignment="1">
      <alignment vertical="center"/>
    </xf>
    <xf numFmtId="0" fontId="4" fillId="17" borderId="5" xfId="0" applyFont="1" applyFill="1" applyBorder="1" applyAlignment="1">
      <alignment horizontal="center" vertical="center"/>
    </xf>
    <xf numFmtId="0" fontId="3" fillId="0" borderId="6" xfId="0" applyFont="1" applyBorder="1" applyAlignment="1">
      <alignment horizontal="center" vertical="center"/>
    </xf>
    <xf numFmtId="0" fontId="4" fillId="17" borderId="5"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59"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4" fillId="3" borderId="10" xfId="0" applyFont="1" applyFill="1" applyBorder="1" applyAlignment="1">
      <alignment horizontal="center" vertical="center" textRotation="90"/>
    </xf>
    <xf numFmtId="0" fontId="43" fillId="0" borderId="14" xfId="0" applyFont="1" applyBorder="1" applyAlignment="1">
      <alignment vertical="center" wrapText="1"/>
    </xf>
    <xf numFmtId="167" fontId="41" fillId="0" borderId="13" xfId="0" applyNumberFormat="1" applyFont="1" applyBorder="1" applyAlignment="1">
      <alignment horizontal="center" vertical="center" wrapText="1"/>
    </xf>
    <xf numFmtId="167" fontId="41" fillId="0" borderId="11" xfId="0" applyNumberFormat="1" applyFont="1" applyBorder="1" applyAlignment="1">
      <alignment horizontal="center" vertical="center" wrapText="1"/>
    </xf>
    <xf numFmtId="167" fontId="41" fillId="0" borderId="11" xfId="0" applyNumberFormat="1" applyFont="1" applyBorder="1" applyAlignment="1">
      <alignment horizontal="center" vertical="center"/>
    </xf>
    <xf numFmtId="167" fontId="41" fillId="0" borderId="14" xfId="0" applyNumberFormat="1" applyFont="1" applyBorder="1" applyAlignment="1">
      <alignment horizontal="center" vertical="center"/>
    </xf>
    <xf numFmtId="0" fontId="4" fillId="3" borderId="41" xfId="0" applyFont="1" applyFill="1" applyBorder="1" applyAlignment="1">
      <alignment horizontal="center" vertical="center" textRotation="90"/>
    </xf>
    <xf numFmtId="0" fontId="43" fillId="0" borderId="21" xfId="0" applyFont="1" applyBorder="1" applyAlignment="1">
      <alignment vertical="center" wrapText="1"/>
    </xf>
    <xf numFmtId="167" fontId="41" fillId="0" borderId="60" xfId="0" applyNumberFormat="1" applyFont="1" applyBorder="1" applyAlignment="1">
      <alignment horizontal="center" vertical="center" wrapText="1"/>
    </xf>
    <xf numFmtId="167" fontId="41" fillId="0" borderId="20" xfId="0" applyNumberFormat="1" applyFont="1" applyBorder="1" applyAlignment="1">
      <alignment horizontal="center" vertical="center" wrapText="1"/>
    </xf>
    <xf numFmtId="167" fontId="41" fillId="0" borderId="20" xfId="0" applyNumberFormat="1" applyFont="1" applyBorder="1" applyAlignment="1">
      <alignment horizontal="center" vertical="center"/>
    </xf>
    <xf numFmtId="167" fontId="41" fillId="0" borderId="21" xfId="0" applyNumberFormat="1" applyFont="1" applyBorder="1" applyAlignment="1">
      <alignment horizontal="center" vertical="center"/>
    </xf>
    <xf numFmtId="167" fontId="41" fillId="0" borderId="59" xfId="0" applyNumberFormat="1" applyFont="1" applyBorder="1" applyAlignment="1">
      <alignment horizontal="center" vertical="center" wrapText="1"/>
    </xf>
    <xf numFmtId="167" fontId="41" fillId="0" borderId="5" xfId="0" applyNumberFormat="1" applyFont="1" applyBorder="1" applyAlignment="1">
      <alignment horizontal="center" vertical="center" wrapText="1"/>
    </xf>
    <xf numFmtId="167" fontId="41" fillId="0" borderId="3" xfId="0" applyNumberFormat="1" applyFont="1" applyBorder="1" applyAlignment="1">
      <alignment horizontal="center" vertical="center" wrapText="1"/>
    </xf>
    <xf numFmtId="0" fontId="15" fillId="6" borderId="28" xfId="4" applyFont="1" applyFill="1" applyBorder="1" applyAlignment="1">
      <alignment horizontal="center" vertical="center" wrapText="1"/>
    </xf>
    <xf numFmtId="10" fontId="15" fillId="12" borderId="30" xfId="3" applyNumberFormat="1" applyFont="1" applyFill="1" applyBorder="1" applyAlignment="1">
      <alignment horizontal="center" vertical="center" wrapText="1"/>
    </xf>
    <xf numFmtId="0" fontId="13" fillId="0" borderId="7" xfId="4" applyFont="1" applyBorder="1" applyAlignment="1">
      <alignment horizontal="center" vertical="center" wrapText="1"/>
    </xf>
    <xf numFmtId="0" fontId="13" fillId="0" borderId="8" xfId="4" applyFont="1" applyBorder="1" applyAlignment="1">
      <alignment horizontal="left" vertical="center" wrapText="1"/>
    </xf>
    <xf numFmtId="0" fontId="13" fillId="0" borderId="8" xfId="4" applyFont="1" applyBorder="1" applyAlignment="1" applyProtection="1">
      <alignment horizontal="center" vertical="center" wrapText="1"/>
      <protection locked="0"/>
    </xf>
    <xf numFmtId="9" fontId="4" fillId="0" borderId="43" xfId="5" applyFont="1" applyFill="1" applyBorder="1" applyAlignment="1" applyProtection="1">
      <alignment horizontal="center" vertical="center" wrapText="1"/>
    </xf>
    <xf numFmtId="14" fontId="4" fillId="0" borderId="7" xfId="5" applyNumberFormat="1" applyFont="1" applyFill="1" applyBorder="1" applyAlignment="1" applyProtection="1">
      <alignment horizontal="center" vertical="center" wrapText="1"/>
    </xf>
    <xf numFmtId="14" fontId="4" fillId="0" borderId="9" xfId="5" applyNumberFormat="1" applyFont="1" applyFill="1" applyBorder="1" applyAlignment="1" applyProtection="1">
      <alignment horizontal="center" vertical="center" wrapText="1"/>
    </xf>
    <xf numFmtId="10" fontId="4" fillId="0" borderId="38" xfId="2" applyNumberFormat="1" applyFont="1" applyFill="1" applyBorder="1" applyAlignment="1" applyProtection="1">
      <alignment horizontal="center" vertical="center" wrapText="1"/>
    </xf>
    <xf numFmtId="10" fontId="13" fillId="0" borderId="10" xfId="2" applyNumberFormat="1" applyFont="1" applyFill="1" applyBorder="1" applyAlignment="1">
      <alignment horizontal="center" vertical="center" wrapText="1"/>
    </xf>
    <xf numFmtId="10" fontId="13" fillId="0" borderId="11" xfId="2" applyNumberFormat="1" applyFont="1" applyFill="1" applyBorder="1" applyAlignment="1">
      <alignment horizontal="center" vertical="center" wrapText="1"/>
    </xf>
    <xf numFmtId="10" fontId="13" fillId="0" borderId="12" xfId="2" applyNumberFormat="1" applyFont="1" applyFill="1" applyBorder="1" applyAlignment="1">
      <alignment horizontal="center" vertical="center" wrapText="1"/>
    </xf>
    <xf numFmtId="10" fontId="13" fillId="0" borderId="50" xfId="4" applyNumberFormat="1" applyFont="1" applyBorder="1" applyAlignment="1">
      <alignment horizontal="center" vertical="center"/>
    </xf>
    <xf numFmtId="0" fontId="13" fillId="0" borderId="25" xfId="4" applyFont="1" applyBorder="1" applyAlignment="1">
      <alignment horizontal="center" vertical="center" wrapText="1"/>
    </xf>
    <xf numFmtId="0" fontId="13" fillId="0" borderId="23" xfId="4" applyFont="1" applyBorder="1" applyAlignment="1">
      <alignment horizontal="left" vertical="center" wrapText="1"/>
    </xf>
    <xf numFmtId="0" fontId="13" fillId="0" borderId="23" xfId="4" applyFont="1" applyBorder="1" applyAlignment="1" applyProtection="1">
      <alignment horizontal="center" vertical="center" wrapText="1"/>
      <protection locked="0"/>
    </xf>
    <xf numFmtId="9" fontId="4" fillId="0" borderId="24" xfId="5" applyFont="1" applyFill="1" applyBorder="1" applyAlignment="1" applyProtection="1">
      <alignment horizontal="center" vertical="center" wrapText="1"/>
    </xf>
    <xf numFmtId="14" fontId="13" fillId="0" borderId="25" xfId="5" applyNumberFormat="1" applyFont="1" applyFill="1" applyBorder="1" applyAlignment="1" applyProtection="1">
      <alignment horizontal="center" vertical="center" wrapText="1"/>
    </xf>
    <xf numFmtId="14" fontId="13" fillId="0" borderId="26" xfId="5" applyNumberFormat="1" applyFont="1" applyFill="1" applyBorder="1" applyAlignment="1" applyProtection="1">
      <alignment horizontal="center" vertical="center" wrapText="1"/>
    </xf>
    <xf numFmtId="10" fontId="13" fillId="0" borderId="55" xfId="2" applyNumberFormat="1" applyFont="1" applyFill="1" applyBorder="1" applyAlignment="1" applyProtection="1">
      <alignment horizontal="center" vertical="center" wrapText="1"/>
    </xf>
    <xf numFmtId="10" fontId="13" fillId="0" borderId="25" xfId="2" applyNumberFormat="1" applyFont="1" applyFill="1" applyBorder="1" applyAlignment="1">
      <alignment horizontal="center" vertical="center" wrapText="1"/>
    </xf>
    <xf numFmtId="10" fontId="13" fillId="0" borderId="23" xfId="2" applyNumberFormat="1" applyFont="1" applyFill="1" applyBorder="1" applyAlignment="1">
      <alignment horizontal="center" vertical="center" wrapText="1"/>
    </xf>
    <xf numFmtId="10" fontId="13" fillId="0" borderId="24" xfId="2" applyNumberFormat="1" applyFont="1" applyFill="1" applyBorder="1" applyAlignment="1">
      <alignment horizontal="center" vertical="center" wrapText="1"/>
    </xf>
    <xf numFmtId="10" fontId="13" fillId="0" borderId="45" xfId="4" applyNumberFormat="1" applyFont="1" applyBorder="1" applyAlignment="1">
      <alignment horizontal="center" vertical="center"/>
    </xf>
    <xf numFmtId="10" fontId="13" fillId="7" borderId="55" xfId="2" applyNumberFormat="1" applyFont="1" applyFill="1" applyBorder="1" applyAlignment="1" applyProtection="1">
      <alignment horizontal="center" vertical="center" wrapText="1"/>
    </xf>
    <xf numFmtId="10" fontId="16" fillId="0" borderId="55" xfId="2" applyNumberFormat="1" applyFont="1" applyFill="1" applyBorder="1" applyAlignment="1" applyProtection="1">
      <alignment horizontal="center" vertical="center" wrapText="1"/>
    </xf>
    <xf numFmtId="10" fontId="16" fillId="0" borderId="61" xfId="2" applyNumberFormat="1" applyFont="1" applyFill="1" applyBorder="1" applyAlignment="1" applyProtection="1">
      <alignment horizontal="center" vertical="center" wrapText="1"/>
    </xf>
    <xf numFmtId="0" fontId="8" fillId="0" borderId="0" xfId="0" applyFont="1" applyFill="1" applyAlignment="1">
      <alignment horizontal="center"/>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3" fillId="0" borderId="0" xfId="0" applyFont="1" applyFill="1" applyAlignment="1">
      <alignment horizontal="left" vertical="center"/>
    </xf>
    <xf numFmtId="0" fontId="4" fillId="0" borderId="7" xfId="0" applyFont="1" applyFill="1" applyBorder="1" applyAlignment="1">
      <alignment horizontal="right" vertical="center" wrapText="1"/>
    </xf>
    <xf numFmtId="0" fontId="4" fillId="0" borderId="25" xfId="0" applyFont="1" applyFill="1" applyBorder="1" applyAlignment="1">
      <alignment horizontal="right" vertical="center" wrapText="1"/>
    </xf>
    <xf numFmtId="0" fontId="3" fillId="0" borderId="0" xfId="0" applyFont="1" applyFill="1" applyBorder="1" applyAlignment="1">
      <alignment vertical="center" wrapText="1"/>
    </xf>
    <xf numFmtId="0" fontId="4" fillId="3" borderId="7" xfId="0" applyFont="1" applyFill="1" applyBorder="1" applyAlignment="1">
      <alignment vertical="center" wrapText="1"/>
    </xf>
    <xf numFmtId="0" fontId="3" fillId="0" borderId="23" xfId="2" applyNumberFormat="1" applyFont="1" applyBorder="1" applyAlignment="1">
      <alignment horizontal="left" vertical="center" wrapText="1"/>
    </xf>
    <xf numFmtId="0" fontId="8" fillId="0" borderId="23" xfId="0" applyFont="1" applyBorder="1" applyAlignment="1">
      <alignment vertical="center" wrapText="1"/>
    </xf>
    <xf numFmtId="164" fontId="8" fillId="0" borderId="23" xfId="1" applyFont="1" applyBorder="1" applyAlignment="1">
      <alignment horizontal="center" vertical="center" textRotation="90" wrapText="1"/>
    </xf>
    <xf numFmtId="0" fontId="4" fillId="0" borderId="1" xfId="0" applyFont="1" applyBorder="1" applyAlignment="1">
      <alignment horizontal="center" vertical="center"/>
    </xf>
    <xf numFmtId="0" fontId="4" fillId="15" borderId="23" xfId="0" applyFont="1" applyFill="1" applyBorder="1" applyAlignment="1">
      <alignment horizontal="center" vertical="center"/>
    </xf>
    <xf numFmtId="0" fontId="4" fillId="16" borderId="23" xfId="0" applyFont="1" applyFill="1" applyBorder="1" applyAlignment="1">
      <alignment horizontal="center" vertical="center"/>
    </xf>
    <xf numFmtId="0" fontId="4" fillId="14" borderId="23" xfId="0" applyFont="1" applyFill="1" applyBorder="1" applyAlignment="1">
      <alignment horizontal="center" vertical="center"/>
    </xf>
    <xf numFmtId="9" fontId="0" fillId="0" borderId="23" xfId="2" applyFont="1" applyBorder="1" applyAlignment="1">
      <alignment horizontal="center" vertical="center"/>
    </xf>
    <xf numFmtId="9" fontId="39" fillId="0" borderId="23" xfId="2" applyFont="1" applyBorder="1" applyAlignment="1">
      <alignment horizontal="center" vertical="center"/>
    </xf>
    <xf numFmtId="0" fontId="3"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4" fillId="3" borderId="20" xfId="0" applyFont="1" applyFill="1" applyBorder="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0" xfId="0" applyFont="1" applyFill="1" applyBorder="1"/>
    <xf numFmtId="0" fontId="4" fillId="0" borderId="0" xfId="0" applyFont="1" applyFill="1" applyBorder="1" applyAlignment="1">
      <alignment horizontal="right" vertical="center"/>
    </xf>
    <xf numFmtId="14" fontId="3" fillId="0" borderId="0" xfId="0" applyNumberFormat="1" applyFont="1" applyFill="1" applyBorder="1" applyAlignment="1">
      <alignment horizontal="left" vertical="center"/>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23" xfId="2" applyNumberFormat="1" applyFont="1" applyBorder="1" applyAlignment="1">
      <alignment horizontal="center" vertical="center" wrapText="1"/>
    </xf>
    <xf numFmtId="0" fontId="9" fillId="0" borderId="23" xfId="0" applyFont="1" applyBorder="1" applyAlignment="1">
      <alignment vertical="center" wrapText="1"/>
    </xf>
    <xf numFmtId="0" fontId="9" fillId="0" borderId="23" xfId="0" applyFont="1" applyBorder="1" applyAlignment="1">
      <alignment horizontal="center" vertical="center" wrapText="1"/>
    </xf>
    <xf numFmtId="0" fontId="45" fillId="0" borderId="19" xfId="0" applyFont="1" applyBorder="1" applyAlignment="1">
      <alignment vertical="center" wrapText="1"/>
    </xf>
    <xf numFmtId="0" fontId="4" fillId="18" borderId="23" xfId="0" applyFont="1" applyFill="1" applyBorder="1" applyAlignment="1">
      <alignment horizontal="center" vertical="center" wrapText="1"/>
    </xf>
    <xf numFmtId="0" fontId="4" fillId="18" borderId="24" xfId="0" applyFont="1" applyFill="1" applyBorder="1" applyAlignment="1">
      <alignment horizontal="center" vertical="center" wrapText="1"/>
    </xf>
    <xf numFmtId="0" fontId="4" fillId="18" borderId="6" xfId="0" applyFont="1" applyFill="1" applyBorder="1" applyAlignment="1">
      <alignment horizontal="center" vertical="center"/>
    </xf>
    <xf numFmtId="0" fontId="8"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0" borderId="20" xfId="0" applyFont="1" applyBorder="1" applyAlignment="1">
      <alignment horizontal="left" vertical="center" wrapText="1"/>
    </xf>
    <xf numFmtId="0" fontId="3" fillId="0" borderId="26"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3" fillId="0" borderId="20" xfId="0" applyFont="1" applyBorder="1" applyAlignment="1">
      <alignment horizontal="center" vertical="center" wrapText="1"/>
    </xf>
    <xf numFmtId="0" fontId="8" fillId="0" borderId="26" xfId="0" applyFont="1" applyBorder="1" applyAlignment="1">
      <alignment horizontal="lef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11" xfId="0" applyFont="1" applyBorder="1" applyAlignment="1">
      <alignment horizontal="left" vertical="center" wrapText="1"/>
    </xf>
    <xf numFmtId="165" fontId="3" fillId="0" borderId="25" xfId="1" applyNumberFormat="1" applyFont="1" applyBorder="1" applyAlignment="1">
      <alignment horizontal="center" vertical="center"/>
    </xf>
    <xf numFmtId="165" fontId="3" fillId="0" borderId="25" xfId="1" applyNumberFormat="1" applyFont="1" applyBorder="1" applyAlignment="1">
      <alignment horizontal="center" vertical="center" wrapText="1"/>
    </xf>
    <xf numFmtId="0" fontId="8" fillId="0" borderId="23" xfId="0" applyFont="1" applyBorder="1" applyAlignment="1">
      <alignment horizontal="center" vertical="center" wrapText="1"/>
    </xf>
    <xf numFmtId="0" fontId="3" fillId="0" borderId="24" xfId="0" applyFont="1" applyBorder="1" applyAlignment="1">
      <alignment horizontal="center" vertical="center" wrapText="1"/>
    </xf>
    <xf numFmtId="165" fontId="3" fillId="0" borderId="26" xfId="1" applyNumberFormat="1" applyFont="1" applyBorder="1" applyAlignment="1">
      <alignment horizontal="center" vertical="center"/>
    </xf>
    <xf numFmtId="165" fontId="3" fillId="0" borderId="26" xfId="1" applyNumberFormat="1" applyFont="1" applyBorder="1" applyAlignment="1">
      <alignment horizontal="center" vertical="center" wrapText="1"/>
    </xf>
    <xf numFmtId="165" fontId="3" fillId="0" borderId="23" xfId="1" applyNumberFormat="1" applyFont="1" applyBorder="1" applyAlignment="1">
      <alignment horizontal="center" vertical="center"/>
    </xf>
    <xf numFmtId="165" fontId="3" fillId="0" borderId="23" xfId="1" applyNumberFormat="1" applyFont="1" applyBorder="1" applyAlignment="1">
      <alignment horizontal="center" vertical="center" wrapText="1"/>
    </xf>
    <xf numFmtId="0" fontId="3" fillId="2" borderId="26" xfId="0" applyFont="1" applyFill="1" applyBorder="1" applyAlignment="1">
      <alignment horizontal="left" vertical="center" wrapText="1"/>
    </xf>
    <xf numFmtId="0" fontId="3" fillId="2" borderId="23" xfId="0" applyFont="1" applyFill="1" applyBorder="1" applyAlignment="1">
      <alignment vertical="center" wrapText="1"/>
    </xf>
    <xf numFmtId="9" fontId="3" fillId="0" borderId="23" xfId="2" applyFont="1" applyBorder="1" applyAlignment="1">
      <alignment horizontal="center" vertical="center"/>
    </xf>
    <xf numFmtId="9" fontId="3" fillId="0" borderId="23" xfId="0" applyNumberFormat="1" applyFont="1" applyBorder="1" applyAlignment="1">
      <alignment horizontal="center" vertical="center"/>
    </xf>
    <xf numFmtId="0" fontId="3" fillId="0" borderId="5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2"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44" xfId="0" applyFont="1" applyBorder="1" applyAlignment="1">
      <alignment horizontal="center" vertical="center" wrapText="1"/>
    </xf>
    <xf numFmtId="0" fontId="3" fillId="0" borderId="51" xfId="0" applyFont="1" applyBorder="1" applyAlignment="1">
      <alignment vertical="center" wrapText="1"/>
    </xf>
    <xf numFmtId="0" fontId="3" fillId="0" borderId="8" xfId="0" applyFont="1" applyBorder="1" applyAlignment="1">
      <alignment vertical="center" wrapText="1"/>
    </xf>
    <xf numFmtId="0" fontId="8"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165" fontId="3" fillId="0" borderId="7" xfId="1" applyNumberFormat="1" applyFont="1" applyFill="1" applyBorder="1" applyAlignment="1">
      <alignment horizontal="center" vertical="center" wrapText="1"/>
    </xf>
    <xf numFmtId="165" fontId="3" fillId="0" borderId="8" xfId="1" applyNumberFormat="1" applyFont="1" applyFill="1" applyBorder="1" applyAlignment="1">
      <alignment horizontal="center" vertical="center" wrapText="1"/>
    </xf>
    <xf numFmtId="165" fontId="3" fillId="0" borderId="9" xfId="1" applyNumberFormat="1" applyFont="1" applyFill="1" applyBorder="1" applyAlignment="1">
      <alignment horizontal="center" vertical="center" wrapText="1"/>
    </xf>
    <xf numFmtId="0" fontId="3" fillId="0" borderId="25" xfId="0" applyFont="1" applyBorder="1" applyAlignment="1">
      <alignment vertical="center" wrapText="1"/>
    </xf>
    <xf numFmtId="0" fontId="3" fillId="0" borderId="15" xfId="0" applyFont="1" applyBorder="1" applyAlignment="1">
      <alignment vertical="center" wrapText="1"/>
    </xf>
    <xf numFmtId="0" fontId="48" fillId="0" borderId="0" xfId="0" applyFont="1" applyBorder="1" applyAlignment="1">
      <alignment horizontal="center" vertical="center"/>
    </xf>
    <xf numFmtId="10" fontId="48" fillId="0" borderId="0" xfId="0" applyNumberFormat="1" applyFont="1" applyBorder="1" applyAlignment="1">
      <alignment horizontal="center" vertical="center"/>
    </xf>
    <xf numFmtId="0" fontId="49" fillId="0" borderId="0" xfId="0" applyFont="1" applyBorder="1"/>
    <xf numFmtId="10" fontId="49" fillId="0" borderId="0" xfId="0" applyNumberFormat="1" applyFont="1" applyBorder="1" applyAlignment="1">
      <alignment horizontal="center" vertical="center"/>
    </xf>
    <xf numFmtId="9" fontId="49" fillId="0" borderId="0" xfId="0" applyNumberFormat="1" applyFont="1" applyBorder="1" applyAlignment="1">
      <alignment horizontal="center" vertical="center"/>
    </xf>
    <xf numFmtId="10" fontId="39" fillId="14" borderId="23" xfId="2" applyNumberFormat="1" applyFont="1" applyFill="1" applyBorder="1" applyAlignment="1">
      <alignment horizontal="center" vertical="center"/>
    </xf>
    <xf numFmtId="0" fontId="3" fillId="2" borderId="1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3" xfId="0" applyFont="1" applyBorder="1" applyAlignment="1">
      <alignment horizontal="left" vertical="center" wrapText="1"/>
    </xf>
    <xf numFmtId="0" fontId="3" fillId="0" borderId="16" xfId="0" applyFont="1" applyBorder="1" applyAlignment="1">
      <alignment horizontal="left" vertical="center" wrapText="1"/>
    </xf>
    <xf numFmtId="0" fontId="8" fillId="0" borderId="23" xfId="0" applyFont="1" applyBorder="1" applyAlignment="1">
      <alignment horizontal="left" vertical="center" wrapText="1"/>
    </xf>
    <xf numFmtId="0" fontId="8" fillId="0" borderId="11" xfId="0" applyFont="1" applyBorder="1" applyAlignment="1">
      <alignment horizontal="left" vertical="center" wrapText="1"/>
    </xf>
    <xf numFmtId="0" fontId="8" fillId="2" borderId="23"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0" borderId="11" xfId="0" applyFont="1" applyBorder="1" applyAlignment="1">
      <alignment horizontal="center" vertical="center" wrapText="1"/>
    </xf>
    <xf numFmtId="0" fontId="9" fillId="2" borderId="23" xfId="0" applyFont="1" applyFill="1" applyBorder="1" applyAlignment="1">
      <alignment horizontal="left" vertical="center" wrapText="1"/>
    </xf>
    <xf numFmtId="0" fontId="4" fillId="3" borderId="8"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10" fontId="3" fillId="0" borderId="23" xfId="2" applyNumberFormat="1" applyFont="1" applyBorder="1" applyAlignment="1">
      <alignment horizontal="center" vertical="center"/>
    </xf>
    <xf numFmtId="10" fontId="8" fillId="0" borderId="23" xfId="2" applyNumberFormat="1" applyFont="1" applyBorder="1" applyAlignment="1">
      <alignment horizontal="center" vertical="center" wrapText="1"/>
    </xf>
    <xf numFmtId="10" fontId="3" fillId="0" borderId="23" xfId="0" applyNumberFormat="1"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16" xfId="0" applyFont="1" applyFill="1" applyBorder="1" applyAlignment="1">
      <alignment horizontal="left" vertical="center" wrapText="1"/>
    </xf>
    <xf numFmtId="0" fontId="3" fillId="0" borderId="11" xfId="0" applyFont="1" applyBorder="1" applyAlignment="1">
      <alignment horizontal="left" vertical="center" wrapText="1"/>
    </xf>
    <xf numFmtId="0" fontId="8"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0" borderId="41" xfId="0" applyFont="1" applyBorder="1" applyAlignment="1">
      <alignment horizontal="left" vertical="center" wrapText="1"/>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0" fillId="0" borderId="11" xfId="0"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0" fillId="0" borderId="14" xfId="0"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center"/>
    </xf>
    <xf numFmtId="0" fontId="3" fillId="0" borderId="4" xfId="0" applyFont="1" applyBorder="1" applyAlignment="1">
      <alignment horizontal="center"/>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52" xfId="0" applyFont="1" applyFill="1" applyBorder="1" applyAlignment="1">
      <alignment horizontal="center" vertical="center"/>
    </xf>
    <xf numFmtId="0" fontId="8" fillId="2" borderId="0" xfId="0" applyFont="1" applyFill="1" applyAlignment="1">
      <alignment horizontal="left" vertical="center" wrapText="1"/>
    </xf>
    <xf numFmtId="0" fontId="8" fillId="2" borderId="4" xfId="0" applyFont="1" applyFill="1" applyBorder="1" applyAlignment="1">
      <alignment horizontal="left" vertical="center" wrapText="1"/>
    </xf>
    <xf numFmtId="0" fontId="3" fillId="0" borderId="8" xfId="0" applyFont="1" applyBorder="1" applyAlignment="1">
      <alignment horizontal="left" vertical="center" wrapText="1"/>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18" xfId="0" applyFont="1" applyFill="1" applyBorder="1" applyAlignment="1">
      <alignment horizontal="center" vertical="center"/>
    </xf>
    <xf numFmtId="0" fontId="3" fillId="0" borderId="9" xfId="0" applyFont="1" applyBorder="1" applyAlignment="1">
      <alignment horizontal="left" vertical="center" wrapText="1"/>
    </xf>
    <xf numFmtId="0" fontId="4" fillId="3" borderId="44"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0" borderId="25" xfId="0" applyFont="1" applyBorder="1" applyAlignment="1">
      <alignment horizontal="left" vertical="center" wrapText="1"/>
    </xf>
    <xf numFmtId="0" fontId="9" fillId="0" borderId="23" xfId="0" applyFont="1" applyBorder="1" applyAlignment="1">
      <alignment horizontal="left" vertical="center" wrapText="1"/>
    </xf>
    <xf numFmtId="0" fontId="8" fillId="2" borderId="23"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25" xfId="0" applyFont="1" applyFill="1" applyBorder="1" applyAlignment="1">
      <alignment horizontal="right" vertical="center" wrapText="1"/>
    </xf>
    <xf numFmtId="0" fontId="4" fillId="0" borderId="15" xfId="0" applyFont="1" applyFill="1" applyBorder="1" applyAlignment="1">
      <alignment horizontal="right" vertical="center" wrapText="1"/>
    </xf>
    <xf numFmtId="0" fontId="8" fillId="0" borderId="26" xfId="0" applyFont="1" applyBorder="1" applyAlignment="1">
      <alignment horizontal="lef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8" fillId="0" borderId="11" xfId="0" applyFont="1" applyBorder="1" applyAlignment="1">
      <alignment horizontal="left" vertical="center" wrapText="1"/>
    </xf>
    <xf numFmtId="0" fontId="8" fillId="2" borderId="20" xfId="0" applyFont="1" applyFill="1" applyBorder="1" applyAlignment="1">
      <alignment horizontal="left" vertical="center" wrapText="1"/>
    </xf>
    <xf numFmtId="0" fontId="0" fillId="0" borderId="11" xfId="0" applyBorder="1" applyAlignment="1">
      <alignment horizontal="center" vertical="center" wrapText="1"/>
    </xf>
    <xf numFmtId="165" fontId="3" fillId="0" borderId="25" xfId="1" applyNumberFormat="1" applyFont="1" applyBorder="1" applyAlignment="1">
      <alignment horizontal="center" vertical="center"/>
    </xf>
    <xf numFmtId="165" fontId="3" fillId="0" borderId="25" xfId="1" applyNumberFormat="1" applyFont="1" applyBorder="1" applyAlignment="1">
      <alignment horizontal="center" vertical="center" wrapText="1"/>
    </xf>
    <xf numFmtId="9" fontId="8" fillId="0" borderId="23" xfId="2" applyFont="1" applyBorder="1" applyAlignment="1">
      <alignment horizontal="center" vertical="center" wrapText="1"/>
    </xf>
    <xf numFmtId="9" fontId="8" fillId="0" borderId="26" xfId="2" applyFont="1" applyBorder="1" applyAlignment="1">
      <alignment horizontal="center" vertical="center" wrapText="1"/>
    </xf>
    <xf numFmtId="0" fontId="8" fillId="0" borderId="23" xfId="0" applyFont="1" applyBorder="1" applyAlignment="1">
      <alignment horizontal="center" vertical="center" wrapText="1"/>
    </xf>
    <xf numFmtId="9" fontId="8" fillId="0" borderId="24" xfId="2" applyFont="1" applyBorder="1" applyAlignment="1">
      <alignment horizontal="center" vertical="center" wrapText="1"/>
    </xf>
    <xf numFmtId="9" fontId="8" fillId="0" borderId="25" xfId="2" applyFont="1" applyBorder="1" applyAlignment="1">
      <alignment horizontal="center" vertical="center" wrapText="1"/>
    </xf>
    <xf numFmtId="0" fontId="3" fillId="0" borderId="41" xfId="0" applyFont="1" applyBorder="1" applyAlignment="1">
      <alignment vertical="center" wrapText="1"/>
    </xf>
    <xf numFmtId="0" fontId="3" fillId="0" borderId="53" xfId="0" applyFont="1" applyBorder="1" applyAlignment="1">
      <alignment vertical="center" wrapText="1"/>
    </xf>
    <xf numFmtId="0" fontId="3" fillId="0" borderId="10"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horizontal="center" vertical="center" wrapText="1"/>
    </xf>
    <xf numFmtId="165" fontId="3" fillId="0" borderId="26" xfId="1" applyNumberFormat="1" applyFont="1" applyBorder="1" applyAlignment="1">
      <alignment horizontal="center" vertical="center"/>
    </xf>
    <xf numFmtId="165" fontId="3" fillId="0" borderId="26" xfId="1" applyNumberFormat="1" applyFont="1" applyBorder="1" applyAlignment="1">
      <alignment horizontal="center" vertical="center" wrapText="1"/>
    </xf>
    <xf numFmtId="165" fontId="3" fillId="0" borderId="23" xfId="1" applyNumberFormat="1" applyFont="1" applyBorder="1" applyAlignment="1">
      <alignment horizontal="center" vertical="center"/>
    </xf>
    <xf numFmtId="165" fontId="3" fillId="0" borderId="23" xfId="1" applyNumberFormat="1" applyFont="1" applyBorder="1" applyAlignment="1">
      <alignment horizontal="center" vertical="center" wrapText="1"/>
    </xf>
    <xf numFmtId="0" fontId="3" fillId="2" borderId="2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66" fontId="3" fillId="2" borderId="23" xfId="2" applyNumberFormat="1" applyFont="1" applyFill="1" applyBorder="1" applyAlignment="1">
      <alignment horizontal="center" vertical="center"/>
    </xf>
    <xf numFmtId="10" fontId="8" fillId="2" borderId="23" xfId="2" applyNumberFormat="1" applyFont="1" applyFill="1" applyBorder="1" applyAlignment="1">
      <alignment horizontal="center" vertical="center"/>
    </xf>
    <xf numFmtId="9" fontId="3" fillId="0" borderId="23" xfId="2" applyFont="1" applyBorder="1" applyAlignment="1">
      <alignment horizontal="center" vertical="center"/>
    </xf>
    <xf numFmtId="9" fontId="3" fillId="0" borderId="23" xfId="0" applyNumberFormat="1" applyFont="1" applyBorder="1" applyAlignment="1">
      <alignment horizontal="center" vertical="center"/>
    </xf>
    <xf numFmtId="0" fontId="3" fillId="0" borderId="23" xfId="0" applyFont="1" applyBorder="1" applyAlignment="1">
      <alignment horizontal="center" vertical="center"/>
    </xf>
    <xf numFmtId="10" fontId="3" fillId="0" borderId="23" xfId="0" applyNumberFormat="1" applyFont="1" applyBorder="1" applyAlignment="1">
      <alignment horizontal="center" vertical="center"/>
    </xf>
    <xf numFmtId="10" fontId="3" fillId="0" borderId="23" xfId="2" applyNumberFormat="1" applyFont="1" applyBorder="1" applyAlignment="1">
      <alignment horizontal="center" vertical="center"/>
    </xf>
    <xf numFmtId="0" fontId="3" fillId="2" borderId="23" xfId="0" applyNumberFormat="1" applyFont="1" applyFill="1" applyBorder="1" applyAlignment="1">
      <alignment horizontal="center" vertical="center"/>
    </xf>
    <xf numFmtId="166" fontId="8" fillId="0" borderId="11" xfId="2" applyNumberFormat="1" applyFont="1" applyBorder="1" applyAlignment="1">
      <alignment horizontal="center" vertical="center"/>
    </xf>
    <xf numFmtId="0" fontId="3" fillId="0" borderId="0" xfId="0" applyFont="1" applyFill="1" applyBorder="1" applyAlignment="1">
      <alignment horizontal="center"/>
    </xf>
    <xf numFmtId="0" fontId="8" fillId="0" borderId="0" xfId="0" applyFont="1" applyFill="1" applyBorder="1" applyAlignment="1">
      <alignment horizontal="left" vertical="center" wrapText="1"/>
    </xf>
    <xf numFmtId="0" fontId="4" fillId="3" borderId="11" xfId="0" applyFont="1" applyFill="1" applyBorder="1" applyAlignment="1">
      <alignment horizontal="center" vertical="center"/>
    </xf>
    <xf numFmtId="0" fontId="4" fillId="3" borderId="11" xfId="0" applyFont="1" applyFill="1" applyBorder="1" applyAlignment="1">
      <alignment horizontal="center" vertical="center" wrapText="1"/>
    </xf>
    <xf numFmtId="166" fontId="3" fillId="0" borderId="23" xfId="2" applyNumberFormat="1" applyFont="1" applyBorder="1" applyAlignment="1">
      <alignment horizontal="center" vertical="center"/>
    </xf>
    <xf numFmtId="9" fontId="3" fillId="2" borderId="23" xfId="2" applyFont="1" applyFill="1" applyBorder="1" applyAlignment="1">
      <alignment horizontal="center" vertical="center"/>
    </xf>
    <xf numFmtId="166" fontId="8" fillId="2" borderId="23" xfId="2" applyNumberFormat="1" applyFont="1" applyFill="1" applyBorder="1" applyAlignment="1">
      <alignment horizontal="center" vertical="center"/>
    </xf>
    <xf numFmtId="10" fontId="8" fillId="0" borderId="23" xfId="2" applyNumberFormat="1" applyFont="1" applyBorder="1" applyAlignment="1">
      <alignment horizontal="center" vertical="center" wrapText="1"/>
    </xf>
    <xf numFmtId="0" fontId="3" fillId="2" borderId="23" xfId="0" applyFont="1" applyFill="1" applyBorder="1" applyAlignment="1">
      <alignment vertical="center" wrapText="1"/>
    </xf>
    <xf numFmtId="0" fontId="4" fillId="2" borderId="23" xfId="0" applyFont="1" applyFill="1" applyBorder="1" applyAlignment="1">
      <alignment horizontal="right" vertical="center" wrapText="1"/>
    </xf>
    <xf numFmtId="0" fontId="4" fillId="3" borderId="23" xfId="0" applyFont="1" applyFill="1" applyBorder="1" applyAlignment="1">
      <alignment horizontal="center" vertical="center" wrapText="1"/>
    </xf>
    <xf numFmtId="10" fontId="3" fillId="0" borderId="24" xfId="2" applyNumberFormat="1" applyFont="1" applyBorder="1" applyAlignment="1">
      <alignment horizontal="center" vertical="center"/>
    </xf>
    <xf numFmtId="10" fontId="3" fillId="0" borderId="55" xfId="2" applyNumberFormat="1" applyFont="1" applyBorder="1" applyAlignment="1">
      <alignment horizontal="center" vertical="center"/>
    </xf>
    <xf numFmtId="10" fontId="3" fillId="0" borderId="23" xfId="2" applyNumberFormat="1" applyFont="1" applyFill="1" applyBorder="1" applyAlignment="1">
      <alignment horizontal="center" vertical="center"/>
    </xf>
    <xf numFmtId="0" fontId="3" fillId="0" borderId="5" xfId="0" applyFont="1" applyBorder="1" applyAlignment="1">
      <alignment horizontal="center"/>
    </xf>
    <xf numFmtId="0" fontId="3" fillId="0" borderId="58" xfId="0" applyFont="1" applyBorder="1" applyAlignment="1">
      <alignment horizontal="center"/>
    </xf>
    <xf numFmtId="0" fontId="4" fillId="0" borderId="58" xfId="0" applyFont="1" applyBorder="1" applyAlignment="1">
      <alignment horizontal="center" vertical="center"/>
    </xf>
    <xf numFmtId="0" fontId="3" fillId="0" borderId="6" xfId="0" applyFont="1" applyBorder="1" applyAlignment="1">
      <alignment horizontal="center"/>
    </xf>
    <xf numFmtId="0" fontId="4" fillId="17" borderId="5" xfId="0" applyFont="1" applyFill="1" applyBorder="1" applyAlignment="1">
      <alignment horizontal="center" vertical="center"/>
    </xf>
    <xf numFmtId="0" fontId="4" fillId="17" borderId="58" xfId="0" applyFont="1" applyFill="1" applyBorder="1" applyAlignment="1">
      <alignment horizontal="center" vertical="center"/>
    </xf>
    <xf numFmtId="0" fontId="3" fillId="0" borderId="58" xfId="0" applyFont="1" applyBorder="1" applyAlignment="1">
      <alignment horizontal="center" vertical="center"/>
    </xf>
    <xf numFmtId="0" fontId="3" fillId="0" borderId="6" xfId="0" applyFont="1" applyBorder="1" applyAlignment="1">
      <alignment horizontal="center" vertical="center"/>
    </xf>
    <xf numFmtId="0" fontId="3" fillId="0" borderId="58" xfId="0" applyFont="1" applyBorder="1" applyAlignment="1">
      <alignment horizontal="center" vertical="center" wrapText="1"/>
    </xf>
    <xf numFmtId="0" fontId="3" fillId="0" borderId="6" xfId="0" applyFont="1" applyBorder="1" applyAlignment="1">
      <alignment horizontal="center" vertical="center" wrapText="1"/>
    </xf>
    <xf numFmtId="0" fontId="4" fillId="17" borderId="5" xfId="0" applyFont="1" applyFill="1" applyBorder="1" applyAlignment="1">
      <alignment horizontal="center" vertical="center" wrapText="1"/>
    </xf>
    <xf numFmtId="0" fontId="4" fillId="17" borderId="58"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1" xfId="0" applyFont="1" applyBorder="1" applyAlignment="1">
      <alignment horizontal="left" vertical="center" wrapText="1"/>
    </xf>
    <xf numFmtId="0" fontId="4" fillId="3" borderId="25"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6" xfId="0" applyFont="1" applyFill="1" applyBorder="1" applyAlignment="1">
      <alignment horizontal="center" vertical="center"/>
    </xf>
    <xf numFmtId="0" fontId="3" fillId="0" borderId="22" xfId="0" applyFont="1" applyBorder="1" applyAlignment="1">
      <alignment horizontal="left" vertical="center" wrapText="1"/>
    </xf>
    <xf numFmtId="0" fontId="4" fillId="3" borderId="15" xfId="0" applyFont="1" applyFill="1" applyBorder="1" applyAlignment="1">
      <alignment horizontal="center" vertical="center"/>
    </xf>
    <xf numFmtId="0" fontId="4" fillId="3" borderId="17" xfId="0" applyFont="1" applyFill="1" applyBorder="1" applyAlignment="1">
      <alignment horizontal="center" vertical="center"/>
    </xf>
    <xf numFmtId="0" fontId="3" fillId="0" borderId="19"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0" borderId="59" xfId="0" applyFont="1" applyBorder="1" applyAlignment="1">
      <alignment horizontal="left" vertical="center" wrapText="1"/>
    </xf>
    <xf numFmtId="0" fontId="3" fillId="0" borderId="58" xfId="0" applyFont="1" applyBorder="1" applyAlignment="1">
      <alignment horizontal="left" vertical="center" wrapText="1"/>
    </xf>
    <xf numFmtId="0" fontId="3" fillId="0" borderId="6" xfId="0" applyFont="1" applyBorder="1" applyAlignment="1">
      <alignment horizontal="left" vertical="center" wrapText="1"/>
    </xf>
    <xf numFmtId="0" fontId="4" fillId="17" borderId="1"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13" fillId="2" borderId="15" xfId="3" applyFont="1" applyFill="1" applyBorder="1" applyAlignment="1">
      <alignment horizontal="right" vertical="center"/>
    </xf>
    <xf numFmtId="0" fontId="13" fillId="2" borderId="16" xfId="3" applyFont="1" applyFill="1" applyBorder="1" applyAlignment="1">
      <alignment horizontal="right" vertical="center"/>
    </xf>
    <xf numFmtId="14" fontId="10" fillId="0" borderId="16" xfId="3" applyNumberFormat="1" applyFont="1" applyBorder="1" applyAlignment="1">
      <alignment horizontal="left" vertical="center" wrapText="1"/>
    </xf>
    <xf numFmtId="14" fontId="10" fillId="0" borderId="17" xfId="3" applyNumberFormat="1" applyFont="1" applyBorder="1" applyAlignment="1">
      <alignment horizontal="left" vertical="center" wrapText="1"/>
    </xf>
    <xf numFmtId="0" fontId="12" fillId="2" borderId="27"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3" fillId="2" borderId="33" xfId="3" applyFont="1" applyFill="1" applyBorder="1" applyAlignment="1">
      <alignment horizontal="right" vertical="center"/>
    </xf>
    <xf numFmtId="0" fontId="13" fillId="2" borderId="34" xfId="3" applyFont="1" applyFill="1" applyBorder="1" applyAlignment="1">
      <alignment horizontal="right" vertical="center"/>
    </xf>
    <xf numFmtId="0" fontId="13" fillId="2" borderId="35" xfId="3" applyFont="1" applyFill="1" applyBorder="1" applyAlignment="1">
      <alignment horizontal="right" vertical="center"/>
    </xf>
    <xf numFmtId="0" fontId="10" fillId="2" borderId="35" xfId="3" applyFont="1" applyFill="1" applyBorder="1" applyAlignment="1">
      <alignment horizontal="left" vertical="center" wrapText="1"/>
    </xf>
    <xf numFmtId="0" fontId="13" fillId="2" borderId="7" xfId="3" applyFont="1" applyFill="1" applyBorder="1" applyAlignment="1">
      <alignment horizontal="right" vertical="center"/>
    </xf>
    <xf numFmtId="0" fontId="13" fillId="2" borderId="8" xfId="3" applyFont="1" applyFill="1" applyBorder="1" applyAlignment="1">
      <alignment horizontal="right" vertical="center"/>
    </xf>
    <xf numFmtId="14" fontId="10" fillId="0" borderId="8" xfId="3" applyNumberFormat="1" applyFont="1" applyBorder="1" applyAlignment="1">
      <alignment horizontal="left" vertical="center" wrapText="1"/>
    </xf>
    <xf numFmtId="14" fontId="10" fillId="0" borderId="9" xfId="3" applyNumberFormat="1" applyFont="1" applyBorder="1" applyAlignment="1">
      <alignment horizontal="left" vertical="center" wrapText="1"/>
    </xf>
    <xf numFmtId="0" fontId="15" fillId="6" borderId="33" xfId="4" applyFont="1" applyFill="1" applyBorder="1" applyAlignment="1">
      <alignment horizontal="center" vertical="center" wrapText="1"/>
    </xf>
    <xf numFmtId="0" fontId="15" fillId="6" borderId="35" xfId="4" applyFont="1" applyFill="1" applyBorder="1" applyAlignment="1">
      <alignment horizontal="center" vertical="center" wrapText="1"/>
    </xf>
    <xf numFmtId="0" fontId="15" fillId="6" borderId="42" xfId="4" applyFont="1" applyFill="1" applyBorder="1" applyAlignment="1">
      <alignment horizontal="center" vertical="center" wrapText="1"/>
    </xf>
    <xf numFmtId="0" fontId="13" fillId="6" borderId="7" xfId="4" applyFont="1" applyFill="1" applyBorder="1" applyAlignment="1">
      <alignment horizontal="center" vertical="center"/>
    </xf>
    <xf numFmtId="0" fontId="13" fillId="6" borderId="8" xfId="4" applyFont="1" applyFill="1" applyBorder="1" applyAlignment="1">
      <alignment horizontal="center" vertical="center"/>
    </xf>
    <xf numFmtId="0" fontId="13" fillId="6" borderId="43" xfId="4" applyFont="1" applyFill="1" applyBorder="1" applyAlignment="1">
      <alignment horizontal="center" vertical="center"/>
    </xf>
    <xf numFmtId="0" fontId="13" fillId="6" borderId="44" xfId="4" applyFont="1" applyFill="1" applyBorder="1" applyAlignment="1">
      <alignment horizontal="center" vertical="center" wrapText="1"/>
    </xf>
    <xf numFmtId="0" fontId="13" fillId="6" borderId="45" xfId="4" applyFont="1" applyFill="1" applyBorder="1" applyAlignment="1">
      <alignment horizontal="center" vertical="center" wrapText="1"/>
    </xf>
    <xf numFmtId="0" fontId="15" fillId="6" borderId="7" xfId="4" applyFont="1" applyFill="1" applyBorder="1" applyAlignment="1">
      <alignment horizontal="center" vertical="center" wrapText="1"/>
    </xf>
    <xf numFmtId="0" fontId="15" fillId="6" borderId="41" xfId="4" applyFont="1" applyFill="1" applyBorder="1" applyAlignment="1">
      <alignment horizontal="center" vertical="center" wrapText="1"/>
    </xf>
    <xf numFmtId="0" fontId="15" fillId="6" borderId="8" xfId="4" applyFont="1" applyFill="1" applyBorder="1" applyAlignment="1">
      <alignment horizontal="center" vertical="center" wrapText="1"/>
    </xf>
    <xf numFmtId="0" fontId="15" fillId="6" borderId="20" xfId="4" applyFont="1" applyFill="1" applyBorder="1" applyAlignment="1">
      <alignment horizontal="center" vertical="center" wrapText="1"/>
    </xf>
    <xf numFmtId="0" fontId="15" fillId="6" borderId="43" xfId="4" applyFont="1" applyFill="1" applyBorder="1" applyAlignment="1">
      <alignment horizontal="center" vertical="center" wrapText="1"/>
    </xf>
    <xf numFmtId="0" fontId="15" fillId="6" borderId="46" xfId="4" applyFont="1" applyFill="1" applyBorder="1" applyAlignment="1">
      <alignment horizontal="center" vertical="center" wrapText="1"/>
    </xf>
    <xf numFmtId="0" fontId="15" fillId="6" borderId="7" xfId="3" applyFont="1" applyFill="1" applyBorder="1" applyAlignment="1">
      <alignment horizontal="center" vertical="center" wrapText="1"/>
    </xf>
    <xf numFmtId="0" fontId="15" fillId="6" borderId="9" xfId="3" applyFont="1" applyFill="1" applyBorder="1" applyAlignment="1">
      <alignment horizontal="center" vertical="center" wrapText="1"/>
    </xf>
    <xf numFmtId="0" fontId="13" fillId="7" borderId="23" xfId="4" applyFont="1" applyFill="1" applyBorder="1" applyAlignment="1">
      <alignment horizontal="left" vertical="center" wrapText="1"/>
    </xf>
    <xf numFmtId="0" fontId="21" fillId="2" borderId="0" xfId="3" applyFont="1" applyFill="1" applyAlignment="1">
      <alignment horizontal="center" vertical="center" wrapText="1"/>
    </xf>
    <xf numFmtId="0" fontId="27" fillId="2" borderId="0" xfId="3" applyFont="1" applyFill="1" applyAlignment="1">
      <alignment horizontal="left" vertical="center" wrapText="1"/>
    </xf>
    <xf numFmtId="14" fontId="27" fillId="2" borderId="0" xfId="3" applyNumberFormat="1" applyFont="1" applyFill="1" applyAlignment="1">
      <alignment horizontal="left" vertical="center" wrapText="1"/>
    </xf>
    <xf numFmtId="0" fontId="15" fillId="6" borderId="37" xfId="3" applyFont="1" applyFill="1" applyBorder="1" applyAlignment="1">
      <alignment horizontal="center" vertical="center" wrapText="1"/>
    </xf>
    <xf numFmtId="0" fontId="15" fillId="6" borderId="38" xfId="3" applyFont="1" applyFill="1" applyBorder="1" applyAlignment="1">
      <alignment horizontal="center" vertical="center" wrapText="1"/>
    </xf>
    <xf numFmtId="0" fontId="15" fillId="6" borderId="39" xfId="3" applyFont="1" applyFill="1" applyBorder="1" applyAlignment="1">
      <alignment horizontal="center" vertical="center" wrapText="1"/>
    </xf>
    <xf numFmtId="0" fontId="11" fillId="2" borderId="16" xfId="3" applyFill="1" applyBorder="1" applyAlignment="1" applyProtection="1">
      <alignment horizontal="left" vertical="center" wrapText="1"/>
      <protection locked="0"/>
    </xf>
    <xf numFmtId="0" fontId="15" fillId="6" borderId="23" xfId="3" applyFont="1" applyFill="1" applyBorder="1" applyAlignment="1">
      <alignment horizontal="center" vertical="center" wrapText="1"/>
    </xf>
    <xf numFmtId="0" fontId="15" fillId="6" borderId="26" xfId="3" applyFont="1" applyFill="1" applyBorder="1" applyAlignment="1">
      <alignment horizontal="center" vertical="center" wrapText="1"/>
    </xf>
    <xf numFmtId="0" fontId="15" fillId="6" borderId="17" xfId="3" applyFont="1" applyFill="1" applyBorder="1" applyAlignment="1">
      <alignment horizontal="center" vertical="center" wrapText="1"/>
    </xf>
    <xf numFmtId="0" fontId="8" fillId="2" borderId="0" xfId="3" applyFont="1" applyFill="1" applyAlignment="1">
      <alignment horizontal="left" vertical="center" wrapText="1"/>
    </xf>
    <xf numFmtId="0" fontId="30" fillId="6" borderId="7" xfId="3" applyFont="1" applyFill="1" applyBorder="1" applyAlignment="1" applyProtection="1">
      <alignment horizontal="center" vertical="center" wrapText="1"/>
      <protection locked="0"/>
    </xf>
    <xf numFmtId="0" fontId="30" fillId="6" borderId="8" xfId="3" applyFont="1" applyFill="1" applyBorder="1" applyAlignment="1" applyProtection="1">
      <alignment horizontal="center" vertical="center" wrapText="1"/>
      <protection locked="0"/>
    </xf>
    <xf numFmtId="0" fontId="30" fillId="6" borderId="9" xfId="3" applyFont="1" applyFill="1" applyBorder="1" applyAlignment="1" applyProtection="1">
      <alignment horizontal="center" vertical="center" wrapText="1"/>
      <protection locked="0"/>
    </xf>
    <xf numFmtId="0" fontId="30" fillId="6" borderId="23" xfId="3" applyFont="1" applyFill="1" applyBorder="1" applyAlignment="1" applyProtection="1">
      <alignment horizontal="center" vertical="center" wrapText="1"/>
      <protection locked="0"/>
    </xf>
    <xf numFmtId="0" fontId="8" fillId="5" borderId="23" xfId="3" applyFont="1" applyFill="1" applyBorder="1" applyAlignment="1">
      <alignment horizontal="left" vertical="center" wrapText="1"/>
    </xf>
    <xf numFmtId="0" fontId="8" fillId="0" borderId="23" xfId="3" applyFont="1" applyBorder="1"/>
    <xf numFmtId="0" fontId="15" fillId="6" borderId="25" xfId="3" applyFont="1" applyFill="1" applyBorder="1" applyAlignment="1">
      <alignment horizontal="center" vertical="center" wrapText="1"/>
    </xf>
    <xf numFmtId="0" fontId="15" fillId="6" borderId="15"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15" fillId="6" borderId="8" xfId="3" applyFont="1" applyFill="1" applyBorder="1" applyAlignment="1">
      <alignment horizontal="center" vertical="center" wrapText="1"/>
    </xf>
    <xf numFmtId="0" fontId="21" fillId="5" borderId="0" xfId="3" applyFont="1" applyFill="1" applyAlignment="1">
      <alignment horizontal="center" vertical="center" wrapText="1"/>
    </xf>
    <xf numFmtId="0" fontId="22" fillId="0" borderId="0" xfId="3" applyFont="1"/>
    <xf numFmtId="0" fontId="27" fillId="5" borderId="0" xfId="3" applyFont="1" applyFill="1" applyAlignment="1">
      <alignment horizontal="left" vertical="center" wrapText="1"/>
    </xf>
    <xf numFmtId="0" fontId="35" fillId="8" borderId="37" xfId="3" applyFont="1" applyFill="1" applyBorder="1" applyAlignment="1">
      <alignment horizontal="center" vertical="center" wrapText="1"/>
    </xf>
    <xf numFmtId="0" fontId="35" fillId="8" borderId="38" xfId="3" applyFont="1" applyFill="1" applyBorder="1" applyAlignment="1">
      <alignment horizontal="center" vertical="center" wrapText="1"/>
    </xf>
    <xf numFmtId="0" fontId="35" fillId="8" borderId="39" xfId="3" applyFont="1" applyFill="1" applyBorder="1" applyAlignment="1">
      <alignment horizontal="center" vertical="center" wrapText="1"/>
    </xf>
    <xf numFmtId="0" fontId="8" fillId="5" borderId="16" xfId="3" applyFont="1" applyFill="1" applyBorder="1" applyAlignment="1">
      <alignment horizontal="left" vertical="center" wrapText="1"/>
    </xf>
    <xf numFmtId="0" fontId="8" fillId="0" borderId="16" xfId="3" applyFont="1" applyBorder="1"/>
    <xf numFmtId="0" fontId="35" fillId="8" borderId="23" xfId="3" applyFont="1" applyFill="1" applyBorder="1" applyAlignment="1">
      <alignment horizontal="center" vertical="center" wrapText="1"/>
    </xf>
    <xf numFmtId="0" fontId="8" fillId="6" borderId="23" xfId="3" applyFont="1" applyFill="1" applyBorder="1" applyAlignment="1">
      <alignment horizontal="center"/>
    </xf>
    <xf numFmtId="0" fontId="35" fillId="8" borderId="26" xfId="3" applyFont="1" applyFill="1" applyBorder="1" applyAlignment="1">
      <alignment horizontal="center" vertical="center" wrapText="1"/>
    </xf>
    <xf numFmtId="0" fontId="8" fillId="6" borderId="17" xfId="3" applyFont="1" applyFill="1" applyBorder="1" applyAlignment="1">
      <alignment horizontal="center"/>
    </xf>
    <xf numFmtId="0" fontId="35" fillId="9" borderId="7" xfId="3" applyFont="1" applyFill="1" applyBorder="1" applyAlignment="1">
      <alignment horizontal="center" vertical="center" wrapText="1"/>
    </xf>
    <xf numFmtId="0" fontId="8" fillId="6" borderId="8" xfId="3" applyFont="1" applyFill="1" applyBorder="1"/>
    <xf numFmtId="0" fontId="8" fillId="6" borderId="9" xfId="3" applyFont="1" applyFill="1" applyBorder="1"/>
    <xf numFmtId="0" fontId="35" fillId="9" borderId="23" xfId="3" applyFont="1" applyFill="1" applyBorder="1" applyAlignment="1">
      <alignment horizontal="center" vertical="center" wrapText="1"/>
    </xf>
    <xf numFmtId="0" fontId="8" fillId="6" borderId="23" xfId="3" applyFont="1" applyFill="1" applyBorder="1"/>
    <xf numFmtId="0" fontId="35" fillId="8" borderId="25" xfId="3" applyFont="1" applyFill="1" applyBorder="1" applyAlignment="1">
      <alignment horizontal="center" vertical="center" wrapText="1"/>
    </xf>
    <xf numFmtId="0" fontId="8" fillId="6" borderId="15" xfId="3" applyFont="1" applyFill="1" applyBorder="1" applyAlignment="1">
      <alignment horizontal="center"/>
    </xf>
    <xf numFmtId="0" fontId="8" fillId="6" borderId="16" xfId="3" applyFont="1" applyFill="1" applyBorder="1" applyAlignment="1">
      <alignment horizontal="center"/>
    </xf>
    <xf numFmtId="0" fontId="36" fillId="5" borderId="0" xfId="3" applyFont="1" applyFill="1" applyAlignment="1">
      <alignment horizontal="center" vertical="center" wrapText="1"/>
    </xf>
    <xf numFmtId="0" fontId="8" fillId="0" borderId="0" xfId="3" applyFont="1"/>
    <xf numFmtId="14" fontId="27" fillId="5" borderId="0" xfId="3" applyNumberFormat="1" applyFont="1" applyFill="1" applyAlignment="1">
      <alignment horizontal="left" vertical="center" wrapText="1"/>
    </xf>
    <xf numFmtId="14" fontId="22" fillId="0" borderId="0" xfId="3" applyNumberFormat="1" applyFont="1"/>
    <xf numFmtId="0" fontId="35" fillId="8" borderId="7" xfId="3" applyFont="1" applyFill="1" applyBorder="1" applyAlignment="1">
      <alignment horizontal="center" vertical="center" wrapText="1"/>
    </xf>
    <xf numFmtId="0" fontId="35" fillId="8" borderId="8" xfId="3" applyFont="1" applyFill="1" applyBorder="1" applyAlignment="1">
      <alignment horizontal="center" vertical="center" wrapText="1"/>
    </xf>
    <xf numFmtId="0" fontId="35" fillId="8" borderId="9" xfId="3" applyFont="1" applyFill="1" applyBorder="1" applyAlignment="1">
      <alignment horizontal="center" vertical="center" wrapText="1"/>
    </xf>
    <xf numFmtId="0" fontId="8" fillId="6" borderId="23" xfId="3" applyFont="1" applyFill="1" applyBorder="1" applyAlignment="1">
      <alignment vertical="center"/>
    </xf>
    <xf numFmtId="0" fontId="8" fillId="6" borderId="17" xfId="3" applyFont="1" applyFill="1" applyBorder="1" applyAlignment="1">
      <alignment vertical="center"/>
    </xf>
    <xf numFmtId="0" fontId="8" fillId="6" borderId="15" xfId="3" applyFont="1" applyFill="1" applyBorder="1" applyAlignment="1">
      <alignment vertical="center"/>
    </xf>
    <xf numFmtId="0" fontId="8" fillId="6" borderId="16" xfId="3" applyFont="1" applyFill="1" applyBorder="1" applyAlignment="1">
      <alignment vertical="center"/>
    </xf>
    <xf numFmtId="0" fontId="27" fillId="2" borderId="0" xfId="3" applyFont="1" applyFill="1" applyAlignment="1">
      <alignment horizontal="justify" vertical="center" wrapText="1"/>
    </xf>
    <xf numFmtId="0" fontId="30" fillId="6" borderId="16" xfId="3" applyFont="1" applyFill="1" applyBorder="1" applyAlignment="1" applyProtection="1">
      <alignment horizontal="center" vertical="center" wrapText="1"/>
      <protection locked="0"/>
    </xf>
    <xf numFmtId="0" fontId="8" fillId="5" borderId="11" xfId="3" applyFont="1" applyFill="1" applyBorder="1" applyAlignment="1">
      <alignment horizontal="left" vertical="center" wrapText="1"/>
    </xf>
    <xf numFmtId="0" fontId="8" fillId="0" borderId="11" xfId="3" applyFont="1" applyBorder="1"/>
    <xf numFmtId="0" fontId="0" fillId="0" borderId="23" xfId="0" applyBorder="1" applyAlignment="1">
      <alignment horizontal="center"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3" fillId="0" borderId="11" xfId="0" applyFont="1" applyBorder="1" applyAlignment="1">
      <alignment horizontal="left" vertical="center" wrapText="1"/>
    </xf>
    <xf numFmtId="0" fontId="4" fillId="2" borderId="25" xfId="0" applyFont="1" applyFill="1" applyBorder="1" applyAlignment="1">
      <alignment horizontal="right" vertical="center" wrapText="1"/>
    </xf>
    <xf numFmtId="0" fontId="4" fillId="2" borderId="15" xfId="0" applyFont="1" applyFill="1" applyBorder="1" applyAlignment="1">
      <alignment horizontal="righ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4" fillId="3" borderId="8" xfId="0" applyFont="1" applyFill="1" applyBorder="1" applyAlignment="1">
      <alignment vertical="center"/>
    </xf>
    <xf numFmtId="0" fontId="4" fillId="3" borderId="19"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22" xfId="0" applyFont="1" applyFill="1" applyBorder="1" applyAlignment="1">
      <alignment horizontal="left" vertical="center" wrapText="1"/>
    </xf>
    <xf numFmtId="0" fontId="3" fillId="0" borderId="50" xfId="0" applyFont="1" applyBorder="1" applyAlignment="1">
      <alignment horizontal="center" vertical="center" wrapText="1"/>
    </xf>
    <xf numFmtId="0" fontId="4" fillId="3" borderId="43"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24" xfId="0" applyFont="1" applyBorder="1" applyAlignment="1">
      <alignment horizontal="left" vertical="center" wrapText="1"/>
    </xf>
    <xf numFmtId="0" fontId="8" fillId="14" borderId="50" xfId="0" applyFont="1" applyFill="1" applyBorder="1" applyAlignment="1">
      <alignment horizontal="center" vertical="center" wrapText="1"/>
    </xf>
    <xf numFmtId="0" fontId="8" fillId="14" borderId="45" xfId="0" applyFont="1" applyFill="1" applyBorder="1" applyAlignment="1">
      <alignment horizontal="center" vertical="center" wrapText="1"/>
    </xf>
    <xf numFmtId="0" fontId="8" fillId="14" borderId="49" xfId="0" applyFont="1" applyFill="1" applyBorder="1" applyAlignment="1">
      <alignment horizontal="center" vertical="center" wrapText="1"/>
    </xf>
    <xf numFmtId="0" fontId="3" fillId="0" borderId="10" xfId="0" applyFont="1" applyBorder="1" applyAlignment="1">
      <alignment horizontal="center" vertical="center" wrapText="1"/>
    </xf>
    <xf numFmtId="0" fontId="8" fillId="0" borderId="16" xfId="0" applyFont="1" applyBorder="1" applyAlignment="1">
      <alignment horizontal="left" vertical="center" wrapText="1"/>
    </xf>
    <xf numFmtId="9" fontId="3" fillId="0" borderId="16" xfId="0" applyNumberFormat="1" applyFont="1" applyBorder="1" applyAlignment="1">
      <alignment horizontal="left" vertical="center" wrapText="1"/>
    </xf>
    <xf numFmtId="9" fontId="3" fillId="0" borderId="16" xfId="0" applyNumberFormat="1" applyFont="1" applyBorder="1" applyAlignment="1">
      <alignment horizontal="center" vertical="center" wrapText="1"/>
    </xf>
    <xf numFmtId="164" fontId="3" fillId="0" borderId="16" xfId="1" applyFont="1" applyBorder="1" applyAlignment="1">
      <alignment horizontal="left" vertical="center" wrapText="1"/>
    </xf>
    <xf numFmtId="10" fontId="3" fillId="0" borderId="16" xfId="2" applyNumberFormat="1" applyFont="1" applyBorder="1" applyAlignment="1">
      <alignment horizontal="center" vertical="center"/>
    </xf>
    <xf numFmtId="0" fontId="8" fillId="0" borderId="19" xfId="0" applyFont="1" applyBorder="1" applyAlignment="1">
      <alignment horizontal="left" vertical="center" wrapText="1"/>
    </xf>
    <xf numFmtId="0" fontId="8" fillId="0" borderId="18" xfId="0" applyFont="1" applyBorder="1" applyAlignment="1">
      <alignment horizontal="left" vertical="center" wrapText="1"/>
    </xf>
    <xf numFmtId="0" fontId="3" fillId="0" borderId="12" xfId="0" applyFont="1" applyBorder="1" applyAlignment="1">
      <alignment horizontal="left" vertical="center" wrapText="1"/>
    </xf>
    <xf numFmtId="0" fontId="3" fillId="0" borderId="24" xfId="0" applyFont="1" applyBorder="1" applyAlignment="1">
      <alignment horizontal="left" vertical="center" wrapText="1"/>
    </xf>
    <xf numFmtId="0" fontId="3" fillId="0" borderId="18" xfId="0" applyFont="1" applyBorder="1" applyAlignment="1">
      <alignment horizontal="left" vertical="center" wrapText="1"/>
    </xf>
    <xf numFmtId="166" fontId="8" fillId="0" borderId="10" xfId="2" applyNumberFormat="1" applyFont="1" applyBorder="1" applyAlignment="1">
      <alignment horizontal="center" vertical="center"/>
    </xf>
    <xf numFmtId="166" fontId="8" fillId="0" borderId="14" xfId="2" applyNumberFormat="1" applyFont="1" applyBorder="1" applyAlignment="1">
      <alignment horizontal="center" vertical="center"/>
    </xf>
    <xf numFmtId="0" fontId="3" fillId="2" borderId="25" xfId="0" applyNumberFormat="1" applyFont="1" applyFill="1" applyBorder="1" applyAlignment="1">
      <alignment horizontal="center" vertical="center"/>
    </xf>
    <xf numFmtId="166" fontId="3" fillId="2" borderId="26" xfId="2" applyNumberFormat="1" applyFont="1" applyFill="1" applyBorder="1" applyAlignment="1">
      <alignment horizontal="center" vertical="center"/>
    </xf>
    <xf numFmtId="10" fontId="3" fillId="0" borderId="25" xfId="0" applyNumberFormat="1" applyFont="1" applyBorder="1" applyAlignment="1">
      <alignment horizontal="center" vertical="center"/>
    </xf>
    <xf numFmtId="10" fontId="3" fillId="0" borderId="26" xfId="0" applyNumberFormat="1" applyFont="1" applyBorder="1" applyAlignment="1">
      <alignment horizontal="center" vertical="center"/>
    </xf>
    <xf numFmtId="10" fontId="3" fillId="0" borderId="25" xfId="0" applyNumberFormat="1" applyFont="1" applyBorder="1" applyAlignment="1">
      <alignment horizontal="center" vertical="center"/>
    </xf>
    <xf numFmtId="10" fontId="3" fillId="0" borderId="26" xfId="0" applyNumberFormat="1" applyFont="1" applyBorder="1" applyAlignment="1">
      <alignment horizontal="center" vertical="center"/>
    </xf>
    <xf numFmtId="9" fontId="3" fillId="0" borderId="25" xfId="2" applyFont="1" applyBorder="1" applyAlignment="1">
      <alignment horizontal="center" vertical="center"/>
    </xf>
    <xf numFmtId="9" fontId="3" fillId="0" borderId="26" xfId="2" applyFont="1" applyBorder="1" applyAlignment="1">
      <alignment horizontal="center" vertical="center"/>
    </xf>
    <xf numFmtId="9" fontId="3" fillId="0" borderId="25" xfId="0" applyNumberFormat="1" applyFont="1" applyBorder="1" applyAlignment="1">
      <alignment horizontal="center" vertical="center"/>
    </xf>
    <xf numFmtId="0" fontId="3" fillId="0" borderId="26" xfId="0" applyFont="1" applyBorder="1" applyAlignment="1">
      <alignment horizontal="center" vertical="center"/>
    </xf>
    <xf numFmtId="10" fontId="3" fillId="0" borderId="25" xfId="2" applyNumberFormat="1" applyFont="1" applyBorder="1" applyAlignment="1">
      <alignment horizontal="center" vertical="center"/>
    </xf>
    <xf numFmtId="10" fontId="3" fillId="0" borderId="26" xfId="2" applyNumberFormat="1" applyFont="1" applyBorder="1" applyAlignment="1">
      <alignment horizontal="center" vertical="center"/>
    </xf>
    <xf numFmtId="166" fontId="3" fillId="0" borderId="25" xfId="2" applyNumberFormat="1" applyFont="1" applyBorder="1" applyAlignment="1">
      <alignment horizontal="center" vertical="center"/>
    </xf>
    <xf numFmtId="166" fontId="3" fillId="0" borderId="26" xfId="2" applyNumberFormat="1" applyFont="1" applyBorder="1" applyAlignment="1">
      <alignment horizontal="center" vertical="center"/>
    </xf>
    <xf numFmtId="9" fontId="3" fillId="2" borderId="25" xfId="2" applyFont="1" applyFill="1" applyBorder="1" applyAlignment="1">
      <alignment horizontal="center" vertical="center"/>
    </xf>
    <xf numFmtId="9" fontId="3" fillId="2" borderId="26" xfId="2" applyFont="1" applyFill="1" applyBorder="1" applyAlignment="1">
      <alignment horizontal="center" vertical="center"/>
    </xf>
    <xf numFmtId="166" fontId="8" fillId="2" borderId="25" xfId="2" applyNumberFormat="1" applyFont="1" applyFill="1" applyBorder="1" applyAlignment="1">
      <alignment horizontal="center" vertical="center"/>
    </xf>
    <xf numFmtId="166" fontId="8" fillId="2" borderId="26" xfId="2" applyNumberFormat="1" applyFont="1" applyFill="1" applyBorder="1" applyAlignment="1">
      <alignment horizontal="center" vertical="center"/>
    </xf>
    <xf numFmtId="166" fontId="3" fillId="2" borderId="25" xfId="2" applyNumberFormat="1" applyFont="1" applyFill="1" applyBorder="1" applyAlignment="1">
      <alignment horizontal="center" vertical="center"/>
    </xf>
    <xf numFmtId="10" fontId="3" fillId="2" borderId="25" xfId="2" applyNumberFormat="1" applyFont="1" applyFill="1" applyBorder="1" applyAlignment="1">
      <alignment horizontal="center" vertical="center"/>
    </xf>
    <xf numFmtId="10" fontId="3" fillId="2" borderId="26" xfId="2" applyNumberFormat="1" applyFont="1" applyFill="1" applyBorder="1" applyAlignment="1">
      <alignment horizontal="center" vertical="center"/>
    </xf>
    <xf numFmtId="10" fontId="8" fillId="2" borderId="26" xfId="2" applyNumberFormat="1" applyFont="1" applyFill="1" applyBorder="1" applyAlignment="1">
      <alignment horizontal="center" vertical="center"/>
    </xf>
    <xf numFmtId="10" fontId="8" fillId="2" borderId="25" xfId="2" applyNumberFormat="1" applyFont="1" applyFill="1" applyBorder="1" applyAlignment="1">
      <alignment horizontal="center" vertical="center"/>
    </xf>
    <xf numFmtId="10" fontId="8" fillId="0" borderId="25" xfId="2" applyNumberFormat="1" applyFont="1" applyBorder="1" applyAlignment="1">
      <alignment horizontal="center" vertical="center" wrapText="1"/>
    </xf>
    <xf numFmtId="10" fontId="8" fillId="0" borderId="26" xfId="2" applyNumberFormat="1" applyFont="1" applyBorder="1" applyAlignment="1">
      <alignment horizontal="center" vertical="center" wrapText="1"/>
    </xf>
    <xf numFmtId="2" fontId="8" fillId="0" borderId="25" xfId="0" applyNumberFormat="1" applyFont="1" applyBorder="1" applyAlignment="1">
      <alignment horizontal="center" vertical="center" wrapText="1"/>
    </xf>
    <xf numFmtId="2" fontId="8" fillId="0" borderId="26" xfId="0" applyNumberFormat="1" applyFont="1" applyBorder="1" applyAlignment="1">
      <alignment horizontal="center" vertical="center" wrapText="1"/>
    </xf>
    <xf numFmtId="164" fontId="8" fillId="0" borderId="25" xfId="1" applyFont="1" applyBorder="1" applyAlignment="1">
      <alignment horizontal="center" vertical="center" textRotation="90" wrapText="1"/>
    </xf>
    <xf numFmtId="164" fontId="8" fillId="0" borderId="26" xfId="1" applyFont="1" applyBorder="1" applyAlignment="1">
      <alignment horizontal="center" vertical="center" textRotation="90" wrapText="1"/>
    </xf>
    <xf numFmtId="10" fontId="8" fillId="0" borderId="25" xfId="2" applyNumberFormat="1" applyFont="1" applyBorder="1" applyAlignment="1">
      <alignment horizontal="center" vertical="center" wrapText="1"/>
    </xf>
    <xf numFmtId="10" fontId="8" fillId="0" borderId="26" xfId="2" applyNumberFormat="1" applyFont="1" applyBorder="1" applyAlignment="1">
      <alignment horizontal="center" vertical="center" wrapText="1"/>
    </xf>
    <xf numFmtId="10" fontId="3" fillId="0" borderId="62" xfId="2" applyNumberFormat="1" applyFont="1" applyBorder="1" applyAlignment="1">
      <alignment horizontal="center" vertical="center"/>
    </xf>
    <xf numFmtId="10" fontId="3" fillId="0" borderId="25" xfId="2" applyNumberFormat="1" applyFont="1" applyBorder="1" applyAlignment="1">
      <alignment horizontal="center" vertical="center"/>
    </xf>
    <xf numFmtId="10" fontId="3" fillId="0" borderId="26" xfId="2" applyNumberFormat="1" applyFont="1" applyBorder="1" applyAlignment="1">
      <alignment horizontal="center" vertical="center"/>
    </xf>
    <xf numFmtId="10" fontId="3" fillId="0" borderId="26" xfId="2" applyNumberFormat="1" applyFont="1" applyFill="1" applyBorder="1" applyAlignment="1">
      <alignment horizontal="center" vertical="center"/>
    </xf>
    <xf numFmtId="10" fontId="3" fillId="0" borderId="15" xfId="2" applyNumberFormat="1" applyFont="1" applyBorder="1" applyAlignment="1">
      <alignment horizontal="center" vertical="center"/>
    </xf>
    <xf numFmtId="10" fontId="3" fillId="0" borderId="17" xfId="2" applyNumberFormat="1" applyFont="1" applyBorder="1" applyAlignment="1">
      <alignment horizontal="center" vertical="center"/>
    </xf>
  </cellXfs>
  <cellStyles count="10">
    <cellStyle name="Hipervínculo" xfId="7" builtinId="8"/>
    <cellStyle name="Moneda" xfId="1" builtinId="4"/>
    <cellStyle name="Normal" xfId="0" builtinId="0"/>
    <cellStyle name="Normal 2" xfId="8" xr:uid="{00000000-0005-0000-0000-000003000000}"/>
    <cellStyle name="Normal 2 4" xfId="4" xr:uid="{00000000-0005-0000-0000-000004000000}"/>
    <cellStyle name="Normal 6" xfId="3" xr:uid="{00000000-0005-0000-0000-000005000000}"/>
    <cellStyle name="Porcentaje" xfId="2" builtinId="5"/>
    <cellStyle name="Porcentaje 2" xfId="5" xr:uid="{00000000-0005-0000-0000-000007000000}"/>
    <cellStyle name="Porcentaje 3" xfId="9" xr:uid="{00000000-0005-0000-0000-000008000000}"/>
    <cellStyle name="Porcentaje 5" xfId="6" xr:uid="{00000000-0005-0000-0000-000009000000}"/>
  </cellStyles>
  <dxfs count="4">
    <dxf>
      <fill>
        <patternFill>
          <bgColor rgb="FF00B05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innerShdw blurRad="63500" dist="50800" dir="13500000">
                <a:prstClr val="black">
                  <a:alpha val="50000"/>
                </a:prstClr>
              </a:innerShdw>
            </a:effectLst>
          </c:spPr>
          <c:dPt>
            <c:idx val="0"/>
            <c:bubble3D val="0"/>
            <c:spPr>
              <a:solidFill>
                <a:srgbClr val="00B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2-A1E0-4E6A-A97E-DB61DD789502}"/>
              </c:ext>
            </c:extLst>
          </c:dPt>
          <c:dPt>
            <c:idx val="1"/>
            <c:bubble3D val="0"/>
            <c:spPr>
              <a:solidFill>
                <a:srgbClr val="92D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3-A1E0-4E6A-A97E-DB61DD789502}"/>
              </c:ext>
            </c:extLst>
          </c:dPt>
          <c:dPt>
            <c:idx val="2"/>
            <c:bubble3D val="0"/>
            <c:spPr>
              <a:solidFill>
                <a:srgbClr val="FFFF0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4-A1E0-4E6A-A97E-DB61DD789502}"/>
              </c:ext>
            </c:extLst>
          </c:dPt>
          <c:dPt>
            <c:idx val="3"/>
            <c:bubble3D val="0"/>
            <c:spPr>
              <a:solidFill>
                <a:srgbClr val="FF000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5-A1E0-4E6A-A97E-DB61DD789502}"/>
              </c:ext>
            </c:extLst>
          </c:dPt>
          <c:dLbls>
            <c:dLbl>
              <c:idx val="0"/>
              <c:layout>
                <c:manualLayout>
                  <c:x val="-6.2032786941791151E-2"/>
                  <c:y val="2.4235213540210736E-2"/>
                </c:manualLayout>
              </c:layout>
              <c:tx>
                <c:rich>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r>
                      <a:rPr lang="en-US">
                        <a:solidFill>
                          <a:sysClr val="windowText" lastClr="000000"/>
                        </a:solidFill>
                      </a:rPr>
                      <a:t>83.33%</a:t>
                    </a:r>
                  </a:p>
                </c:rich>
              </c:tx>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15:layout>
                    <c:manualLayout>
                      <c:w val="0.10318836122047244"/>
                      <c:h val="8.1680083182602559E-2"/>
                    </c:manualLayout>
                  </c15:layout>
                  <c15:showDataLabelsRange val="0"/>
                </c:ext>
                <c:ext xmlns:c16="http://schemas.microsoft.com/office/drawing/2014/chart" uri="{C3380CC4-5D6E-409C-BE32-E72D297353CC}">
                  <c16:uniqueId val="{00000002-A1E0-4E6A-A97E-DB61DD789502}"/>
                </c:ext>
              </c:extLst>
            </c:dLbl>
            <c:dLbl>
              <c:idx val="1"/>
              <c:layout>
                <c:manualLayout>
                  <c:x val="-2.3134403006375096E-2"/>
                  <c:y val="-5.5506209314393883E-3"/>
                </c:manualLayout>
              </c:layout>
              <c:tx>
                <c:rich>
                  <a:bodyPr/>
                  <a:lstStyle/>
                  <a:p>
                    <a:r>
                      <a:rPr lang="en-US"/>
                      <a:t>10.42%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A1E0-4E6A-A97E-DB61DD789502}"/>
                </c:ext>
              </c:extLst>
            </c:dLbl>
            <c:dLbl>
              <c:idx val="2"/>
              <c:layout>
                <c:manualLayout>
                  <c:x val="-8.2766499776786823E-2"/>
                  <c:y val="-8.3946699072509096E-2"/>
                </c:manualLayout>
              </c:layout>
              <c:tx>
                <c:rich>
                  <a:bodyPr/>
                  <a:lstStyle/>
                  <a:p>
                    <a:r>
                      <a:rPr lang="en-US"/>
                      <a:t>4.17%</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4-A1E0-4E6A-A97E-DB61DD789502}"/>
                </c:ext>
              </c:extLst>
            </c:dLbl>
            <c:dLbl>
              <c:idx val="3"/>
              <c:layout>
                <c:manualLayout>
                  <c:x val="-1.6612544752971956E-2"/>
                  <c:y val="-0.14662828660832231"/>
                </c:manualLayout>
              </c:layout>
              <c:tx>
                <c:rich>
                  <a:bodyPr/>
                  <a:lstStyle/>
                  <a:p>
                    <a:r>
                      <a:rPr lang="en-US"/>
                      <a:t>2.08%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A1E0-4E6A-A97E-DB61DD789502}"/>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Resultados!$B$11:$B$14</c:f>
              <c:strCache>
                <c:ptCount val="4"/>
                <c:pt idx="0">
                  <c:v>Muy satisfactorio</c:v>
                </c:pt>
                <c:pt idx="1">
                  <c:v>Satisfactorio</c:v>
                </c:pt>
                <c:pt idx="2">
                  <c:v>Aceptable</c:v>
                </c:pt>
                <c:pt idx="3">
                  <c:v>Alerta</c:v>
                </c:pt>
              </c:strCache>
            </c:strRef>
          </c:cat>
          <c:val>
            <c:numRef>
              <c:f>Resultados!$C$11:$C$14</c:f>
              <c:numCache>
                <c:formatCode>General</c:formatCode>
                <c:ptCount val="4"/>
                <c:pt idx="0">
                  <c:v>40</c:v>
                </c:pt>
                <c:pt idx="1">
                  <c:v>5</c:v>
                </c:pt>
                <c:pt idx="2">
                  <c:v>2</c:v>
                </c:pt>
                <c:pt idx="3">
                  <c:v>1</c:v>
                </c:pt>
              </c:numCache>
            </c:numRef>
          </c:val>
          <c:extLst>
            <c:ext xmlns:c16="http://schemas.microsoft.com/office/drawing/2014/chart" uri="{C3380CC4-5D6E-409C-BE32-E72D297353CC}">
              <c16:uniqueId val="{00000000-A1E0-4E6A-A97E-DB61DD789502}"/>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dk1">
          <a:lumMod val="25000"/>
          <a:lumOff val="75000"/>
        </a:schemeClr>
      </a:solidFill>
      <a:round/>
    </a:ln>
    <a:effectLst>
      <a:innerShdw blurRad="114300">
        <a:prstClr val="black"/>
      </a:inn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3-6DC5-492A-854C-D9A6A2BA6756}"/>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4-6DC5-492A-854C-D9A6A2BA6756}"/>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5-6DC5-492A-854C-D9A6A2BA6756}"/>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6-6DC5-492A-854C-D9A6A2BA6756}"/>
              </c:ext>
            </c:extLst>
          </c:dPt>
          <c:dPt>
            <c:idx val="4"/>
            <c:bubble3D val="0"/>
            <c:spPr>
              <a:noFill/>
              <a:ln w="19050">
                <a:solidFill>
                  <a:schemeClr val="lt1"/>
                </a:solidFill>
              </a:ln>
              <a:effectLst/>
            </c:spPr>
            <c:extLst>
              <c:ext xmlns:c16="http://schemas.microsoft.com/office/drawing/2014/chart" uri="{C3380CC4-5D6E-409C-BE32-E72D297353CC}">
                <c16:uniqueId val="{00000002-6DC5-492A-854C-D9A6A2BA6756}"/>
              </c:ext>
            </c:extLst>
          </c:dPt>
          <c:val>
            <c:numRef>
              <c:f>Resultados!$I$10:$I$14</c:f>
              <c:numCache>
                <c:formatCode>0%</c:formatCode>
                <c:ptCount val="5"/>
                <c:pt idx="0">
                  <c:v>0.3</c:v>
                </c:pt>
                <c:pt idx="1">
                  <c:v>0.3</c:v>
                </c:pt>
                <c:pt idx="2">
                  <c:v>0.3</c:v>
                </c:pt>
                <c:pt idx="3">
                  <c:v>0.1</c:v>
                </c:pt>
                <c:pt idx="4">
                  <c:v>0.99999999999999989</c:v>
                </c:pt>
              </c:numCache>
            </c:numRef>
          </c:val>
          <c:extLst>
            <c:ext xmlns:c16="http://schemas.microsoft.com/office/drawing/2014/chart" uri="{C3380CC4-5D6E-409C-BE32-E72D297353CC}">
              <c16:uniqueId val="{00000000-6DC5-492A-854C-D9A6A2BA6756}"/>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6DC5-492A-854C-D9A6A2BA6756}"/>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A-6DC5-492A-854C-D9A6A2BA6756}"/>
              </c:ext>
            </c:extLst>
          </c:dPt>
          <c:dPt>
            <c:idx val="2"/>
            <c:bubble3D val="0"/>
            <c:spPr>
              <a:noFill/>
              <a:ln w="19050">
                <a:solidFill>
                  <a:schemeClr val="lt1"/>
                </a:solidFill>
              </a:ln>
              <a:effectLst/>
            </c:spPr>
            <c:extLst>
              <c:ext xmlns:c16="http://schemas.microsoft.com/office/drawing/2014/chart" uri="{C3380CC4-5D6E-409C-BE32-E72D297353CC}">
                <c16:uniqueId val="{00000009-6DC5-492A-854C-D9A6A2BA6756}"/>
              </c:ext>
            </c:extLst>
          </c:dPt>
          <c:val>
            <c:numRef>
              <c:f>Resultados!$I$18:$I$20</c:f>
              <c:numCache>
                <c:formatCode>0%</c:formatCode>
                <c:ptCount val="3"/>
                <c:pt idx="0" formatCode="0.00%">
                  <c:v>0.92749999999999999</c:v>
                </c:pt>
                <c:pt idx="1">
                  <c:v>0.02</c:v>
                </c:pt>
                <c:pt idx="2" formatCode="0.00%">
                  <c:v>1.0524999999999998</c:v>
                </c:pt>
              </c:numCache>
            </c:numRef>
          </c:val>
          <c:extLst>
            <c:ext xmlns:c16="http://schemas.microsoft.com/office/drawing/2014/chart" uri="{C3380CC4-5D6E-409C-BE32-E72D297353CC}">
              <c16:uniqueId val="{00000007-6DC5-492A-854C-D9A6A2BA675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30.png"/><Relationship Id="rId3" Type="http://schemas.openxmlformats.org/officeDocument/2006/relationships/customXml" Target="../ink/ink1.xml"/><Relationship Id="rId7" Type="http://schemas.openxmlformats.org/officeDocument/2006/relationships/customXml" Target="../ink/ink3.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NULL"/><Relationship Id="rId5" Type="http://schemas.openxmlformats.org/officeDocument/2006/relationships/customXml" Target="../ink/ink2.xml"/><Relationship Id="rId10" Type="http://schemas.openxmlformats.org/officeDocument/2006/relationships/image" Target="NULL"/><Relationship Id="rId4" Type="http://schemas.openxmlformats.org/officeDocument/2006/relationships/image" Target="../media/image3.png"/><Relationship Id="rId9" Type="http://schemas.openxmlformats.org/officeDocument/2006/relationships/customXml" Target="../ink/ink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customXml" Target="../ink/ink5.xml"/><Relationship Id="rId7" Type="http://schemas.openxmlformats.org/officeDocument/2006/relationships/customXml" Target="../ink/ink8.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ustomXml" Target="../ink/ink7.xml"/><Relationship Id="rId5" Type="http://schemas.openxmlformats.org/officeDocument/2006/relationships/customXml" Target="../ink/ink6.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135732</xdr:colOff>
      <xdr:row>0</xdr:row>
      <xdr:rowOff>0</xdr:rowOff>
    </xdr:from>
    <xdr:to>
      <xdr:col>0</xdr:col>
      <xdr:colOff>1197769</xdr:colOff>
      <xdr:row>0</xdr:row>
      <xdr:rowOff>700369</xdr:rowOff>
    </xdr:to>
    <xdr:pic>
      <xdr:nvPicPr>
        <xdr:cNvPr id="2" name="5 Imagen" descr="C:\Users\john.garcia\Desktop\LOGO CAPITAL LETRA NEGRA.png">
          <a:extLst>
            <a:ext uri="{FF2B5EF4-FFF2-40B4-BE49-F238E27FC236}">
              <a16:creationId xmlns:a16="http://schemas.microsoft.com/office/drawing/2014/main" id="{7CF7E783-7C03-411C-A7F4-EE6CE1B314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33</xdr:col>
      <xdr:colOff>261937</xdr:colOff>
      <xdr:row>0</xdr:row>
      <xdr:rowOff>23812</xdr:rowOff>
    </xdr:from>
    <xdr:to>
      <xdr:col>33</xdr:col>
      <xdr:colOff>953558</xdr:colOff>
      <xdr:row>0</xdr:row>
      <xdr:rowOff>690562</xdr:rowOff>
    </xdr:to>
    <xdr:pic>
      <xdr:nvPicPr>
        <xdr:cNvPr id="3" name="3 Imagen" descr="C:\Users\john.garcia\Desktop\2020-01-08.png">
          <a:extLst>
            <a:ext uri="{FF2B5EF4-FFF2-40B4-BE49-F238E27FC236}">
              <a16:creationId xmlns:a16="http://schemas.microsoft.com/office/drawing/2014/main" id="{2ECAE31A-CA5A-494B-A5CB-EB0DA50C9A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83287" y="23812"/>
          <a:ext cx="691621" cy="666750"/>
        </a:xfrm>
        <a:prstGeom prst="rect">
          <a:avLst/>
        </a:prstGeom>
        <a:noFill/>
        <a:ln>
          <a:noFill/>
        </a:ln>
      </xdr:spPr>
    </xdr:pic>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8077567A-41D7-48E1-87E3-4CC5F6522A71}"/>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Entrada de lápiz 4">
              <a:extLst>
                <a:ext uri="{FF2B5EF4-FFF2-40B4-BE49-F238E27FC236}">
                  <a16:creationId xmlns:a16="http://schemas.microsoft.com/office/drawing/2014/main" id="{8CB78F4A-8E42-46B0-B273-6511BC2AAACF}"/>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6"/>
            <a:stretch>
              <a:fillRect/>
            </a:stretch>
          </xdr:blipFill>
          <xdr:spPr>
            <a:xfrm>
              <a:off x="16402069" y="9183379"/>
              <a:ext cx="18000" cy="18000"/>
            </a:xfrm>
            <a:prstGeom prst="rect">
              <a:avLst/>
            </a:prstGeom>
          </xdr:spPr>
        </xdr:pic>
      </mc:Fallback>
    </mc:AlternateContent>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Entrada de lápiz 5">
              <a:extLst>
                <a:ext uri="{FF2B5EF4-FFF2-40B4-BE49-F238E27FC236}">
                  <a16:creationId xmlns:a16="http://schemas.microsoft.com/office/drawing/2014/main" id="{7DFBFA9A-6897-4EAF-A1A5-EF6B500E7AB8}"/>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8"/>
            <a:stretch>
              <a:fillRect/>
            </a:stretch>
          </xdr:blipFill>
          <xdr:spPr>
            <a:xfrm>
              <a:off x="16402069" y="9183379"/>
              <a:ext cx="18000" cy="18000"/>
            </a:xfrm>
            <a:prstGeom prst="rect">
              <a:avLst/>
            </a:prstGeom>
          </xdr:spPr>
        </xdr:pic>
      </mc:Fallback>
    </mc:AlternateContent>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7" name="Entrada de lápiz 6">
              <a:extLst>
                <a:ext uri="{FF2B5EF4-FFF2-40B4-BE49-F238E27FC236}">
                  <a16:creationId xmlns:a16="http://schemas.microsoft.com/office/drawing/2014/main" id="{ECA33826-7A4F-4951-9B72-F4D0512FD152}"/>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10"/>
            <a:stretch>
              <a:fillRect/>
            </a:stretch>
          </xdr:blipFill>
          <xdr:spPr>
            <a:xfrm>
              <a:off x="16402069" y="9183379"/>
              <a:ext cx="18000" cy="18000"/>
            </a:xfrm>
            <a:prstGeom prst="rect">
              <a:avLst/>
            </a:prstGeom>
          </xdr:spPr>
        </xdr:pic>
      </mc:Fallback>
    </mc:AlternateContent>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B8DD5C68-47DA-411C-A528-AD30E4E465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113241</xdr:colOff>
      <xdr:row>0</xdr:row>
      <xdr:rowOff>111126</xdr:rowOff>
    </xdr:from>
    <xdr:to>
      <xdr:col>2</xdr:col>
      <xdr:colOff>941916</xdr:colOff>
      <xdr:row>3</xdr:row>
      <xdr:rowOff>154517</xdr:rowOff>
    </xdr:to>
    <xdr:pic>
      <xdr:nvPicPr>
        <xdr:cNvPr id="2" name="5 Imagen" descr="C:\Users\john.garcia\Desktop\LOGO CAPITAL LETRA NEGRA.png">
          <a:extLst>
            <a:ext uri="{FF2B5EF4-FFF2-40B4-BE49-F238E27FC236}">
              <a16:creationId xmlns:a16="http://schemas.microsoft.com/office/drawing/2014/main" id="{FF74AC46-6D14-4698-9347-CB31D7DAD6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166" y="111126"/>
          <a:ext cx="1123950" cy="75776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0</xdr:row>
      <xdr:rowOff>38100</xdr:rowOff>
    </xdr:from>
    <xdr:to>
      <xdr:col>2</xdr:col>
      <xdr:colOff>1095375</xdr:colOff>
      <xdr:row>3</xdr:row>
      <xdr:rowOff>228600</xdr:rowOff>
    </xdr:to>
    <xdr:pic>
      <xdr:nvPicPr>
        <xdr:cNvPr id="2" name="5 Imagen" descr="C:\Users\john.garcia\Desktop\LOGO CAPITAL LETRA NEGRA.png">
          <a:extLst>
            <a:ext uri="{FF2B5EF4-FFF2-40B4-BE49-F238E27FC236}">
              <a16:creationId xmlns:a16="http://schemas.microsoft.com/office/drawing/2014/main" id="{BE98C7C6-968F-476B-ABC4-1D3458BB00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85875" cy="9048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116681</xdr:colOff>
      <xdr:row>0</xdr:row>
      <xdr:rowOff>135731</xdr:rowOff>
    </xdr:from>
    <xdr:to>
      <xdr:col>2</xdr:col>
      <xdr:colOff>716756</xdr:colOff>
      <xdr:row>3</xdr:row>
      <xdr:rowOff>126206</xdr:rowOff>
    </xdr:to>
    <xdr:pic>
      <xdr:nvPicPr>
        <xdr:cNvPr id="2" name="5 Imagen" descr="C:\Users\john.garcia\Desktop\LOGO CAPITAL LETRA NEGRA.png">
          <a:extLst>
            <a:ext uri="{FF2B5EF4-FFF2-40B4-BE49-F238E27FC236}">
              <a16:creationId xmlns:a16="http://schemas.microsoft.com/office/drawing/2014/main" id="{0EE90461-368D-42DE-A116-73AE8D90EF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 y="135731"/>
          <a:ext cx="1057275" cy="704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71439</xdr:colOff>
      <xdr:row>0</xdr:row>
      <xdr:rowOff>23813</xdr:rowOff>
    </xdr:from>
    <xdr:to>
      <xdr:col>10</xdr:col>
      <xdr:colOff>526957</xdr:colOff>
      <xdr:row>0</xdr:row>
      <xdr:rowOff>724182</xdr:rowOff>
    </xdr:to>
    <xdr:pic>
      <xdr:nvPicPr>
        <xdr:cNvPr id="2" name="5 Imagen" descr="C:\Users\john.garcia\Desktop\LOGO CAPITAL LETRA NEGRA.png">
          <a:extLst>
            <a:ext uri="{FF2B5EF4-FFF2-40B4-BE49-F238E27FC236}">
              <a16:creationId xmlns:a16="http://schemas.microsoft.com/office/drawing/2014/main" id="{0ECE7E0C-B184-4BEC-8988-5D61144D4F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9" y="23813"/>
          <a:ext cx="1062037" cy="700369"/>
        </a:xfrm>
        <a:prstGeom prst="rect">
          <a:avLst/>
        </a:prstGeom>
        <a:noFill/>
        <a:ln>
          <a:noFill/>
        </a:ln>
      </xdr:spPr>
    </xdr:pic>
    <xdr:clientData/>
  </xdr:twoCellAnchor>
  <xdr:twoCellAnchor editAs="oneCell">
    <xdr:from>
      <xdr:col>48</xdr:col>
      <xdr:colOff>109534</xdr:colOff>
      <xdr:row>0</xdr:row>
      <xdr:rowOff>45244</xdr:rowOff>
    </xdr:from>
    <xdr:to>
      <xdr:col>49</xdr:col>
      <xdr:colOff>201080</xdr:colOff>
      <xdr:row>0</xdr:row>
      <xdr:rowOff>711994</xdr:rowOff>
    </xdr:to>
    <xdr:pic>
      <xdr:nvPicPr>
        <xdr:cNvPr id="3" name="3 Imagen" descr="C:\Users\john.garcia\Desktop\2020-01-08.png">
          <a:extLst>
            <a:ext uri="{FF2B5EF4-FFF2-40B4-BE49-F238E27FC236}">
              <a16:creationId xmlns:a16="http://schemas.microsoft.com/office/drawing/2014/main" id="{CF4CE692-C715-4FD3-A560-F15C5DE7DA3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61440" y="45244"/>
          <a:ext cx="686859" cy="666750"/>
        </a:xfrm>
        <a:prstGeom prst="rect">
          <a:avLst/>
        </a:prstGeom>
        <a:noFill/>
        <a:ln>
          <a:noFill/>
        </a:ln>
      </xdr:spPr>
    </xdr:pic>
    <xdr:clientData/>
  </xdr:twoCellAnchor>
  <xdr:twoCellAnchor editAs="oneCell">
    <xdr:from>
      <xdr:col>11</xdr:col>
      <xdr:colOff>0</xdr:colOff>
      <xdr:row>9</xdr:row>
      <xdr:rowOff>0</xdr:rowOff>
    </xdr:from>
    <xdr:to>
      <xdr:col>11</xdr:col>
      <xdr:colOff>0</xdr:colOff>
      <xdr:row>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AAA175A4-F589-4FA6-B5EB-5EF7E48E8564}"/>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twoCellAnchor editAs="oneCell">
    <xdr:from>
      <xdr:col>56</xdr:col>
      <xdr:colOff>0</xdr:colOff>
      <xdr:row>0</xdr:row>
      <xdr:rowOff>35718</xdr:rowOff>
    </xdr:from>
    <xdr:to>
      <xdr:col>56</xdr:col>
      <xdr:colOff>691621</xdr:colOff>
      <xdr:row>0</xdr:row>
      <xdr:rowOff>702468</xdr:rowOff>
    </xdr:to>
    <xdr:pic>
      <xdr:nvPicPr>
        <xdr:cNvPr id="5" name="3 Imagen" descr="C:\Users\john.garcia\Desktop\2020-01-08.png">
          <a:extLst>
            <a:ext uri="{FF2B5EF4-FFF2-40B4-BE49-F238E27FC236}">
              <a16:creationId xmlns:a16="http://schemas.microsoft.com/office/drawing/2014/main" id="{04ACD26C-15F1-4ACA-9AB2-415EE69A6CF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26812" y="35718"/>
          <a:ext cx="691621" cy="666750"/>
        </a:xfrm>
        <a:prstGeom prst="rect">
          <a:avLst/>
        </a:prstGeom>
        <a:noFill/>
        <a:ln>
          <a:noFill/>
        </a:ln>
      </xdr:spPr>
    </xdr:pic>
    <xdr:clientData/>
  </xdr:twoCellAnchor>
  <xdr:twoCellAnchor editAs="oneCell">
    <xdr:from>
      <xdr:col>50</xdr:col>
      <xdr:colOff>83344</xdr:colOff>
      <xdr:row>0</xdr:row>
      <xdr:rowOff>23813</xdr:rowOff>
    </xdr:from>
    <xdr:to>
      <xdr:col>55</xdr:col>
      <xdr:colOff>529057</xdr:colOff>
      <xdr:row>0</xdr:row>
      <xdr:rowOff>724182</xdr:rowOff>
    </xdr:to>
    <xdr:pic>
      <xdr:nvPicPr>
        <xdr:cNvPr id="6" name="5 Imagen" descr="C:\Users\john.garcia\Desktop\LOGO CAPITAL LETRA NEGRA.png">
          <a:extLst>
            <a:ext uri="{FF2B5EF4-FFF2-40B4-BE49-F238E27FC236}">
              <a16:creationId xmlns:a16="http://schemas.microsoft.com/office/drawing/2014/main" id="{65CE2A8C-579E-4B14-9640-558139930A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78063" y="23813"/>
          <a:ext cx="1062037" cy="700369"/>
        </a:xfrm>
        <a:prstGeom prst="rect">
          <a:avLst/>
        </a:prstGeom>
        <a:noFill/>
        <a:ln>
          <a:noFill/>
        </a:ln>
      </xdr:spPr>
    </xdr:pic>
    <xdr:clientData/>
  </xdr:twoCellAnchor>
  <xdr:oneCellAnchor>
    <xdr:from>
      <xdr:col>11</xdr:col>
      <xdr:colOff>0</xdr:colOff>
      <xdr:row>13</xdr:row>
      <xdr:rowOff>0</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7" name="Entrada de lápiz 6">
              <a:extLst>
                <a:ext uri="{FF2B5EF4-FFF2-40B4-BE49-F238E27FC236}">
                  <a16:creationId xmlns:a16="http://schemas.microsoft.com/office/drawing/2014/main" id="{FB847FCE-7F77-4F2A-A63F-E2896A1DA270}"/>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oneCellAnchor>
  <xdr:oneCellAnchor>
    <xdr:from>
      <xdr:col>14</xdr:col>
      <xdr:colOff>0</xdr:colOff>
      <xdr:row>9</xdr:row>
      <xdr:rowOff>0</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8" name="Entrada de lápiz 7">
              <a:extLst>
                <a:ext uri="{FF2B5EF4-FFF2-40B4-BE49-F238E27FC236}">
                  <a16:creationId xmlns:a16="http://schemas.microsoft.com/office/drawing/2014/main" id="{0E636F0E-E9BF-4D82-BF61-89C8E7E0159B}"/>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oneCellAnchor>
  <xdr:oneCellAnchor>
    <xdr:from>
      <xdr:col>14</xdr:col>
      <xdr:colOff>0</xdr:colOff>
      <xdr:row>13</xdr:row>
      <xdr:rowOff>0</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9" name="Entrada de lápiz 8">
              <a:extLst>
                <a:ext uri="{FF2B5EF4-FFF2-40B4-BE49-F238E27FC236}">
                  <a16:creationId xmlns:a16="http://schemas.microsoft.com/office/drawing/2014/main" id="{11D50EBE-FD8B-4218-B57D-BEDCCB0C9886}"/>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297656</xdr:colOff>
      <xdr:row>0</xdr:row>
      <xdr:rowOff>23812</xdr:rowOff>
    </xdr:from>
    <xdr:to>
      <xdr:col>1</xdr:col>
      <xdr:colOff>976312</xdr:colOff>
      <xdr:row>0</xdr:row>
      <xdr:rowOff>753110</xdr:rowOff>
    </xdr:to>
    <xdr:pic>
      <xdr:nvPicPr>
        <xdr:cNvPr id="2" name="6 Imagen" descr="C:\Users\john.garcia\Desktop\LOGO CAPITAL LETRA NEGRA.png">
          <a:extLst>
            <a:ext uri="{FF2B5EF4-FFF2-40B4-BE49-F238E27FC236}">
              <a16:creationId xmlns:a16="http://schemas.microsoft.com/office/drawing/2014/main" id="{C943541B-D11D-45B6-87C6-592B728E0A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656" y="23812"/>
          <a:ext cx="1097756" cy="729298"/>
        </a:xfrm>
        <a:prstGeom prst="rect">
          <a:avLst/>
        </a:prstGeom>
        <a:noFill/>
        <a:ln>
          <a:noFill/>
        </a:ln>
      </xdr:spPr>
    </xdr:pic>
    <xdr:clientData/>
  </xdr:twoCellAnchor>
  <xdr:twoCellAnchor editAs="oneCell">
    <xdr:from>
      <xdr:col>12</xdr:col>
      <xdr:colOff>678657</xdr:colOff>
      <xdr:row>0</xdr:row>
      <xdr:rowOff>23813</xdr:rowOff>
    </xdr:from>
    <xdr:to>
      <xdr:col>13</xdr:col>
      <xdr:colOff>446630</xdr:colOff>
      <xdr:row>0</xdr:row>
      <xdr:rowOff>764591</xdr:rowOff>
    </xdr:to>
    <xdr:pic>
      <xdr:nvPicPr>
        <xdr:cNvPr id="3" name="7 Imagen" descr="C:\Users\john.garcia\Desktop\2020-01-08.png">
          <a:extLst>
            <a:ext uri="{FF2B5EF4-FFF2-40B4-BE49-F238E27FC236}">
              <a16:creationId xmlns:a16="http://schemas.microsoft.com/office/drawing/2014/main" id="{216F8A9F-9F9B-4D49-A87F-3A6F961166B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08782" y="23813"/>
          <a:ext cx="834773" cy="74077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180975</xdr:colOff>
      <xdr:row>1</xdr:row>
      <xdr:rowOff>28576</xdr:rowOff>
    </xdr:from>
    <xdr:to>
      <xdr:col>13</xdr:col>
      <xdr:colOff>47625</xdr:colOff>
      <xdr:row>8</xdr:row>
      <xdr:rowOff>28576</xdr:rowOff>
    </xdr:to>
    <xdr:graphicFrame macro="">
      <xdr:nvGraphicFramePr>
        <xdr:cNvPr id="2" name="Gráfico 1">
          <a:extLst>
            <a:ext uri="{FF2B5EF4-FFF2-40B4-BE49-F238E27FC236}">
              <a16:creationId xmlns:a16="http://schemas.microsoft.com/office/drawing/2014/main" id="{E2595759-3E37-400C-AFC8-9E1D807147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142875</xdr:colOff>
      <xdr:row>8</xdr:row>
      <xdr:rowOff>0</xdr:rowOff>
    </xdr:from>
    <xdr:to>
      <xdr:col>13</xdr:col>
      <xdr:colOff>247650</xdr:colOff>
      <xdr:row>22</xdr:row>
      <xdr:rowOff>71437</xdr:rowOff>
    </xdr:to>
    <xdr:grpSp>
      <xdr:nvGrpSpPr>
        <xdr:cNvPr id="11" name="Grupo 10">
          <a:extLst>
            <a:ext uri="{FF2B5EF4-FFF2-40B4-BE49-F238E27FC236}">
              <a16:creationId xmlns:a16="http://schemas.microsoft.com/office/drawing/2014/main" id="{4BB24952-D1FE-447F-AF2A-DEE436AF04A7}"/>
            </a:ext>
          </a:extLst>
        </xdr:cNvPr>
        <xdr:cNvGrpSpPr/>
      </xdr:nvGrpSpPr>
      <xdr:grpSpPr>
        <a:xfrm>
          <a:off x="9648825" y="3981450"/>
          <a:ext cx="2705100" cy="2476500"/>
          <a:chOff x="10334625" y="4100512"/>
          <a:chExt cx="3152775" cy="2743200"/>
        </a:xfrm>
      </xdr:grpSpPr>
      <xdr:grpSp>
        <xdr:nvGrpSpPr>
          <xdr:cNvPr id="5" name="Grupo 4">
            <a:extLst>
              <a:ext uri="{FF2B5EF4-FFF2-40B4-BE49-F238E27FC236}">
                <a16:creationId xmlns:a16="http://schemas.microsoft.com/office/drawing/2014/main" id="{C25E9F95-94D1-4B69-A73D-6C5EDFB03128}"/>
              </a:ext>
            </a:extLst>
          </xdr:cNvPr>
          <xdr:cNvGrpSpPr/>
        </xdr:nvGrpSpPr>
        <xdr:grpSpPr>
          <a:xfrm>
            <a:off x="10334625" y="4100512"/>
            <a:ext cx="3152775" cy="2743200"/>
            <a:chOff x="10267950" y="4310062"/>
            <a:chExt cx="4572000" cy="2743200"/>
          </a:xfrm>
        </xdr:grpSpPr>
        <xdr:graphicFrame macro="">
          <xdr:nvGraphicFramePr>
            <xdr:cNvPr id="3" name="Gráfico 2">
              <a:extLst>
                <a:ext uri="{FF2B5EF4-FFF2-40B4-BE49-F238E27FC236}">
                  <a16:creationId xmlns:a16="http://schemas.microsoft.com/office/drawing/2014/main" id="{71FB2B3C-E626-4928-BB9C-B3194FF5C286}"/>
                </a:ext>
              </a:extLst>
            </xdr:cNvPr>
            <xdr:cNvGraphicFramePr/>
          </xdr:nvGraphicFramePr>
          <xdr:xfrm>
            <a:off x="10267950" y="4310062"/>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sp macro="" textlink="$I$16">
          <xdr:nvSpPr>
            <xdr:cNvPr id="4" name="Rectángulo 3">
              <a:extLst>
                <a:ext uri="{FF2B5EF4-FFF2-40B4-BE49-F238E27FC236}">
                  <a16:creationId xmlns:a16="http://schemas.microsoft.com/office/drawing/2014/main" id="{5E2A4FB6-6988-40C5-8701-C3185BBD699F}"/>
                </a:ext>
              </a:extLst>
            </xdr:cNvPr>
            <xdr:cNvSpPr/>
          </xdr:nvSpPr>
          <xdr:spPr>
            <a:xfrm>
              <a:off x="12160288" y="5495925"/>
              <a:ext cx="110501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7523A74-7366-4B20-9D87-A655AD797AF7}" type="TxLink">
                <a:rPr lang="en-US" sz="1000" b="1" i="0" u="none" strike="noStrike">
                  <a:solidFill>
                    <a:srgbClr val="000000"/>
                  </a:solidFill>
                  <a:latin typeface="Arial" panose="020B0604020202020204" pitchFamily="34" charset="0"/>
                  <a:cs typeface="Arial" panose="020B0604020202020204" pitchFamily="34" charset="0"/>
                </a:rPr>
                <a:pPr algn="l"/>
                <a:t>93.75%</a:t>
              </a:fld>
              <a:endParaRPr lang="es-CO" sz="1000">
                <a:latin typeface="Arial" panose="020B0604020202020204" pitchFamily="34" charset="0"/>
                <a:cs typeface="Arial" panose="020B0604020202020204" pitchFamily="34" charset="0"/>
              </a:endParaRPr>
            </a:p>
          </xdr:txBody>
        </xdr:sp>
      </xdr:grpSp>
      <xdr:sp macro="" textlink="">
        <xdr:nvSpPr>
          <xdr:cNvPr id="6" name="CuadroTexto 5">
            <a:extLst>
              <a:ext uri="{FF2B5EF4-FFF2-40B4-BE49-F238E27FC236}">
                <a16:creationId xmlns:a16="http://schemas.microsoft.com/office/drawing/2014/main" id="{18E06047-8AF4-4EA5-B3A8-800FCA860AE0}"/>
              </a:ext>
            </a:extLst>
          </xdr:cNvPr>
          <xdr:cNvSpPr txBox="1"/>
        </xdr:nvSpPr>
        <xdr:spPr>
          <a:xfrm>
            <a:off x="10506075" y="5305425"/>
            <a:ext cx="4095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0%</a:t>
            </a:r>
          </a:p>
        </xdr:txBody>
      </xdr:sp>
      <xdr:sp macro="" textlink="">
        <xdr:nvSpPr>
          <xdr:cNvPr id="7" name="CuadroTexto 6">
            <a:extLst>
              <a:ext uri="{FF2B5EF4-FFF2-40B4-BE49-F238E27FC236}">
                <a16:creationId xmlns:a16="http://schemas.microsoft.com/office/drawing/2014/main" id="{363B42DE-663D-43BC-B2F5-537973896CBF}"/>
              </a:ext>
            </a:extLst>
          </xdr:cNvPr>
          <xdr:cNvSpPr txBox="1"/>
        </xdr:nvSpPr>
        <xdr:spPr>
          <a:xfrm>
            <a:off x="10896601" y="4448175"/>
            <a:ext cx="4953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30%</a:t>
            </a:r>
          </a:p>
        </xdr:txBody>
      </xdr:sp>
      <xdr:sp macro="" textlink="">
        <xdr:nvSpPr>
          <xdr:cNvPr id="8" name="CuadroTexto 7">
            <a:extLst>
              <a:ext uri="{FF2B5EF4-FFF2-40B4-BE49-F238E27FC236}">
                <a16:creationId xmlns:a16="http://schemas.microsoft.com/office/drawing/2014/main" id="{D3A786D8-32B7-43BF-AEA5-5D1F2CCC82A7}"/>
              </a:ext>
            </a:extLst>
          </xdr:cNvPr>
          <xdr:cNvSpPr txBox="1"/>
        </xdr:nvSpPr>
        <xdr:spPr>
          <a:xfrm>
            <a:off x="12068175" y="4314825"/>
            <a:ext cx="5143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60%</a:t>
            </a:r>
          </a:p>
        </xdr:txBody>
      </xdr:sp>
      <xdr:sp macro="" textlink="">
        <xdr:nvSpPr>
          <xdr:cNvPr id="9" name="CuadroTexto 8">
            <a:extLst>
              <a:ext uri="{FF2B5EF4-FFF2-40B4-BE49-F238E27FC236}">
                <a16:creationId xmlns:a16="http://schemas.microsoft.com/office/drawing/2014/main" id="{B4372127-C9C4-4115-B4BD-4B1EBCB1C848}"/>
              </a:ext>
            </a:extLst>
          </xdr:cNvPr>
          <xdr:cNvSpPr txBox="1"/>
        </xdr:nvSpPr>
        <xdr:spPr>
          <a:xfrm>
            <a:off x="12811125" y="5048251"/>
            <a:ext cx="4572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90%</a:t>
            </a:r>
          </a:p>
        </xdr:txBody>
      </xdr:sp>
      <xdr:sp macro="" textlink="">
        <xdr:nvSpPr>
          <xdr:cNvPr id="10" name="CuadroTexto 9">
            <a:extLst>
              <a:ext uri="{FF2B5EF4-FFF2-40B4-BE49-F238E27FC236}">
                <a16:creationId xmlns:a16="http://schemas.microsoft.com/office/drawing/2014/main" id="{3E00F9F2-9C15-423A-B8ED-D58ACED048AC}"/>
              </a:ext>
            </a:extLst>
          </xdr:cNvPr>
          <xdr:cNvSpPr txBox="1"/>
        </xdr:nvSpPr>
        <xdr:spPr>
          <a:xfrm>
            <a:off x="12906375" y="5324475"/>
            <a:ext cx="5048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100%</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71437</xdr:colOff>
      <xdr:row>0</xdr:row>
      <xdr:rowOff>47627</xdr:rowOff>
    </xdr:from>
    <xdr:to>
      <xdr:col>1</xdr:col>
      <xdr:colOff>952499</xdr:colOff>
      <xdr:row>1</xdr:row>
      <xdr:rowOff>392908</xdr:rowOff>
    </xdr:to>
    <xdr:pic>
      <xdr:nvPicPr>
        <xdr:cNvPr id="2" name="5 Imagen" descr="C:\Users\john.garcia\Desktop\LOGO CAPITAL LETRA NEGRA.png">
          <a:extLst>
            <a:ext uri="{FF2B5EF4-FFF2-40B4-BE49-F238E27FC236}">
              <a16:creationId xmlns:a16="http://schemas.microsoft.com/office/drawing/2014/main" id="{F5765283-7544-4FA2-A398-4C27E4CE15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47627"/>
          <a:ext cx="1347787" cy="812006"/>
        </a:xfrm>
        <a:prstGeom prst="rect">
          <a:avLst/>
        </a:prstGeom>
        <a:noFill/>
        <a:ln>
          <a:noFill/>
        </a:ln>
      </xdr:spPr>
    </xdr:pic>
    <xdr:clientData/>
  </xdr:twoCellAnchor>
  <xdr:twoCellAnchor editAs="oneCell">
    <xdr:from>
      <xdr:col>7</xdr:col>
      <xdr:colOff>452438</xdr:colOff>
      <xdr:row>0</xdr:row>
      <xdr:rowOff>95252</xdr:rowOff>
    </xdr:from>
    <xdr:to>
      <xdr:col>7</xdr:col>
      <xdr:colOff>1333500</xdr:colOff>
      <xdr:row>1</xdr:row>
      <xdr:rowOff>357188</xdr:rowOff>
    </xdr:to>
    <xdr:pic>
      <xdr:nvPicPr>
        <xdr:cNvPr id="3" name="3 Imagen" descr="C:\Users\john.garcia\Desktop\2020-01-08.png">
          <a:extLst>
            <a:ext uri="{FF2B5EF4-FFF2-40B4-BE49-F238E27FC236}">
              <a16:creationId xmlns:a16="http://schemas.microsoft.com/office/drawing/2014/main" id="{2F7216C5-5B32-435D-9FE9-2B9308A3CFF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39688" y="95252"/>
          <a:ext cx="881062" cy="72866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45508</xdr:colOff>
      <xdr:row>0</xdr:row>
      <xdr:rowOff>121707</xdr:rowOff>
    </xdr:from>
    <xdr:to>
      <xdr:col>2</xdr:col>
      <xdr:colOff>871008</xdr:colOff>
      <xdr:row>3</xdr:row>
      <xdr:rowOff>159807</xdr:rowOff>
    </xdr:to>
    <xdr:pic>
      <xdr:nvPicPr>
        <xdr:cNvPr id="2" name="5 Imagen" descr="C:\Users\john.garcia\Desktop\LOGO CAPITAL LETRA NEGRA.png">
          <a:extLst>
            <a:ext uri="{FF2B5EF4-FFF2-40B4-BE49-F238E27FC236}">
              <a16:creationId xmlns:a16="http://schemas.microsoft.com/office/drawing/2014/main" id="{4D139F25-A2EC-4263-9A26-C507A156B3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433" y="121707"/>
          <a:ext cx="1120775"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1A6C929A-8CA8-45C4-B361-5D9D4AEC97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5</xdr:row>
      <xdr:rowOff>0</xdr:rowOff>
    </xdr:to>
    <xdr:pic>
      <xdr:nvPicPr>
        <xdr:cNvPr id="2" name="5 Imagen" descr="C:\Users\john.garcia\Desktop\LOGO CAPITAL LETRA NEGRA.png">
          <a:extLst>
            <a:ext uri="{FF2B5EF4-FFF2-40B4-BE49-F238E27FC236}">
              <a16:creationId xmlns:a16="http://schemas.microsoft.com/office/drawing/2014/main" id="{8AB0589F-8E00-4A59-AC24-9F6263DC6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DE955985-5A36-4D6A-A1D9-47D48AA945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38125"/>
          <a:ext cx="1123950" cy="752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Desktop/Plan%20de%20Accio&#769;n%20Institucional%202021%20-%20Versio&#769;n%201%20(29.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I 2021 - V1"/>
      <sheetName val="AN-01 - Plan MIPG"/>
      <sheetName val="AN-02 - Plan de Capacitaciones"/>
      <sheetName val="AN-03 - Bienestar"/>
      <sheetName val="AN-04 - Plan SG-SST"/>
      <sheetName val="AN-05 - Plan Estratégico RR.HH"/>
      <sheetName val="AN-06 - PINAR"/>
      <sheetName val="AN-07-PETI"/>
      <sheetName val="AN-08-Plan SI"/>
      <sheetName val="AN-09-Plan Tratamiento RSI"/>
      <sheetName val="ODS"/>
      <sheetName val="PDD"/>
      <sheetName val="MIPG"/>
    </sheetNames>
    <sheetDataSet>
      <sheetData sheetId="0">
        <row r="6">
          <cell r="AF6" t="str">
            <v>1 Eficacia: (cumplimiento de metas)</v>
          </cell>
        </row>
        <row r="7">
          <cell r="AF7" t="str">
            <v>2 Eficiencia: (uso de los recursos)</v>
          </cell>
        </row>
        <row r="8">
          <cell r="AF8" t="str">
            <v>3 Efectividad (impacto o beneficios generados)</v>
          </cell>
        </row>
        <row r="60">
          <cell r="E60" t="str">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ell>
        </row>
        <row r="61">
          <cell r="E61" t="str">
            <v>02 - Consolidar una oferta de contenidos informativos, educativos y culturales, que promuevan la participación y la inclusión de la ciudadanía.</v>
          </cell>
        </row>
        <row r="62">
          <cell r="E62" t="str">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ell>
        </row>
        <row r="63">
          <cell r="E63" t="str">
            <v>04 - Consolidar a Capital como la empresa referente en el desarrollo de estrategias de comunicación pública de Bogotá región.</v>
          </cell>
        </row>
        <row r="64">
          <cell r="E64" t="str">
            <v>05 - Fortalecer la capacidad institucional de Capital para ser una empresa eficiente, sostenible y transparente.</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3-24T22:49:13.304"/>
    </inkml:context>
    <inkml:brush xml:id="br0">
      <inkml:brushProperty name="width" value="0.05" units="cm"/>
      <inkml:brushProperty name="height" value="0.05" units="cm"/>
    </inkml:brush>
  </inkml:definitions>
  <inkml:trace contextRef="#ctx0" brushRef="#br0">0 0 1296,'0'0'320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25T21:29:46.212"/>
    </inkml:context>
    <inkml:brush xml:id="br0">
      <inkml:brushProperty name="width" value="0.05" units="cm"/>
      <inkml:brushProperty name="height" value="0.05" units="cm"/>
    </inkml:brush>
  </inkml:definitions>
  <inkml:trace contextRef="#ctx0" brushRef="#br0">0 0 1296,'0'0'320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28T16:46:17.701"/>
    </inkml:context>
    <inkml:brush xml:id="br0">
      <inkml:brushProperty name="width" value="0.05" units="cm"/>
      <inkml:brushProperty name="height" value="0.05" units="cm"/>
    </inkml:brush>
  </inkml:definitions>
  <inkml:trace contextRef="#ctx0" brushRef="#br0">0 0 1296,'0'0'320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28T16:46:17.702"/>
    </inkml:context>
    <inkml:brush xml:id="br0">
      <inkml:brushProperty name="width" value="0.05" units="cm"/>
      <inkml:brushProperty name="height" value="0.05" units="cm"/>
    </inkml:brush>
  </inkml:definitions>
  <inkml:trace contextRef="#ctx0" brushRef="#br0">0 0 1296,'0'0'320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4-13T00:04:40.871"/>
    </inkml:context>
    <inkml:brush xml:id="br0">
      <inkml:brushProperty name="width" value="0.05" units="cm"/>
      <inkml:brushProperty name="height" value="0.05" units="cm"/>
    </inkml:brush>
  </inkml:definitions>
  <inkml:trace contextRef="#ctx0" brushRef="#br0">0 0 1296,'0'0'320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25T23:00:12.557"/>
    </inkml:context>
    <inkml:brush xml:id="br0">
      <inkml:brushProperty name="width" value="0.05" units="cm"/>
      <inkml:brushProperty name="height" value="0.05" units="cm"/>
    </inkml:brush>
  </inkml:definitions>
  <inkml:trace contextRef="#ctx0" brushRef="#br0">0 0 1296,'0'0'320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28T20:57:34.095"/>
    </inkml:context>
    <inkml:brush xml:id="br0">
      <inkml:brushProperty name="width" value="0.05" units="cm"/>
      <inkml:brushProperty name="height" value="0.05" units="cm"/>
    </inkml:brush>
  </inkml:definitions>
  <inkml:trace contextRef="#ctx0" brushRef="#br0">0 0 1296,'0'0'320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28T20:57:34.111"/>
    </inkml:context>
    <inkml:brush xml:id="br0">
      <inkml:brushProperty name="width" value="0.05" units="cm"/>
      <inkml:brushProperty name="height" value="0.05" units="cm"/>
    </inkml:brush>
  </inkml:definitions>
  <inkml:trace contextRef="#ctx0" brushRef="#br0">0 0 1296,'0'0'320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hyperlink" Target="https://www.fundacionseres.org/Repositorio%20Archivos/ODS,%20empresas%20y%20valor%20compartido.pdf" TargetMode="External"/><Relationship Id="rId1" Type="http://schemas.openxmlformats.org/officeDocument/2006/relationships/hyperlink" Target="https://www.un.org/sustainabledevelopment/es/objetivos-de-desarrollo-sostenible/"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gota.gov.co/sites/default/files/acuerdo-761-de-2020-pdd.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6"/>
  <sheetViews>
    <sheetView showGridLines="0" zoomScale="80" zoomScaleNormal="80" workbookViewId="0">
      <selection sqref="A1:AH1"/>
    </sheetView>
  </sheetViews>
  <sheetFormatPr baseColWidth="10" defaultColWidth="0" defaultRowHeight="12.75" zeroHeight="1" x14ac:dyDescent="0.2"/>
  <cols>
    <col min="1" max="1" width="23.85546875" style="294" customWidth="1"/>
    <col min="2" max="2" width="23.85546875" style="497" customWidth="1"/>
    <col min="3" max="3" width="23.85546875" style="294" customWidth="1"/>
    <col min="4" max="4" width="41.5703125" style="294" customWidth="1"/>
    <col min="5" max="5" width="25.140625" style="294" customWidth="1"/>
    <col min="6" max="6" width="21.5703125" style="294" customWidth="1"/>
    <col min="7" max="7" width="17.42578125" style="294" customWidth="1"/>
    <col min="8" max="8" width="19.42578125" style="294" customWidth="1"/>
    <col min="9" max="9" width="10.28515625" style="498" customWidth="1"/>
    <col min="10" max="10" width="26.85546875" style="294" customWidth="1"/>
    <col min="11" max="11" width="47.85546875" style="294" customWidth="1"/>
    <col min="12" max="12" width="25.42578125" style="294" customWidth="1"/>
    <col min="13" max="13" width="22.7109375" style="294" customWidth="1"/>
    <col min="14" max="14" width="19.42578125" style="294" customWidth="1"/>
    <col min="15" max="15" width="38.42578125" style="294" customWidth="1"/>
    <col min="16" max="16" width="32.7109375" style="294" customWidth="1"/>
    <col min="17" max="17" width="21" style="294" customWidth="1"/>
    <col min="18" max="18" width="16.7109375" style="294" customWidth="1"/>
    <col min="19" max="22" width="21.7109375" style="294" customWidth="1"/>
    <col min="23" max="26" width="21.7109375" style="294" hidden="1" customWidth="1"/>
    <col min="27" max="27" width="46.42578125" style="294" customWidth="1"/>
    <col min="28" max="28" width="32.28515625" style="294" customWidth="1"/>
    <col min="29" max="29" width="19.42578125" style="294" customWidth="1"/>
    <col min="30" max="31" width="24.42578125" style="294" customWidth="1"/>
    <col min="32" max="32" width="60.7109375" style="294" customWidth="1"/>
    <col min="33" max="33" width="18.42578125" style="294" customWidth="1"/>
    <col min="34" max="34" width="19.7109375" style="294" customWidth="1"/>
    <col min="35" max="35" width="11.42578125" style="294" customWidth="1"/>
    <col min="36" max="37" width="0" style="294" hidden="1" customWidth="1"/>
    <col min="38" max="16384" width="11.42578125" style="294" hidden="1"/>
  </cols>
  <sheetData>
    <row r="1" spans="1:37" s="1" customFormat="1" ht="57.75" customHeight="1" thickBot="1" x14ac:dyDescent="0.25">
      <c r="A1" s="620" t="s">
        <v>0</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2"/>
    </row>
    <row r="2" spans="1:37" s="1" customFormat="1" ht="6.75" customHeight="1" x14ac:dyDescent="0.2">
      <c r="A2" s="623"/>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4"/>
    </row>
    <row r="3" spans="1:37" s="1" customFormat="1" ht="19.5" customHeight="1" x14ac:dyDescent="0.2">
      <c r="A3" s="2" t="s">
        <v>2</v>
      </c>
      <c r="B3" s="6">
        <v>44537</v>
      </c>
      <c r="C3" s="4"/>
      <c r="D3" s="4"/>
      <c r="E3" s="4"/>
      <c r="F3" s="4"/>
      <c r="G3" s="4"/>
      <c r="H3" s="4"/>
      <c r="I3" s="364"/>
      <c r="J3" s="4"/>
      <c r="K3" s="4"/>
      <c r="L3" s="4"/>
      <c r="M3" s="4"/>
      <c r="N3" s="4"/>
      <c r="O3" s="4"/>
      <c r="P3" s="4"/>
      <c r="Q3" s="4"/>
      <c r="R3" s="4"/>
      <c r="S3" s="4"/>
      <c r="T3" s="4"/>
      <c r="U3" s="4"/>
      <c r="V3" s="4"/>
      <c r="W3" s="4"/>
      <c r="X3" s="4"/>
      <c r="Y3" s="4"/>
      <c r="Z3" s="4"/>
      <c r="AA3" s="4"/>
      <c r="AB3" s="4"/>
      <c r="AC3" s="4"/>
      <c r="AD3" s="4"/>
      <c r="AE3" s="4"/>
      <c r="AF3" s="4"/>
      <c r="AG3" s="4"/>
      <c r="AH3" s="5"/>
    </row>
    <row r="4" spans="1:37" s="1" customFormat="1" ht="51" customHeight="1" x14ac:dyDescent="0.2">
      <c r="A4" s="2" t="s">
        <v>1</v>
      </c>
      <c r="B4" s="641" t="s">
        <v>1522</v>
      </c>
      <c r="C4" s="641"/>
      <c r="D4" s="641"/>
      <c r="E4" s="641"/>
      <c r="F4" s="641"/>
      <c r="G4" s="641"/>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2"/>
    </row>
    <row r="5" spans="1:37" s="1" customFormat="1" ht="6.75" customHeight="1" thickBot="1" x14ac:dyDescent="0.25">
      <c r="A5" s="7"/>
      <c r="B5" s="7"/>
      <c r="C5" s="7"/>
      <c r="D5" s="7"/>
      <c r="E5" s="7"/>
      <c r="F5" s="7"/>
      <c r="G5" s="7"/>
      <c r="H5" s="7"/>
      <c r="I5" s="365"/>
      <c r="J5" s="7"/>
      <c r="K5" s="7"/>
      <c r="L5" s="7"/>
      <c r="M5" s="7"/>
      <c r="N5" s="7"/>
      <c r="O5" s="7"/>
      <c r="P5" s="7"/>
      <c r="Q5" s="7"/>
      <c r="R5" s="7"/>
      <c r="S5" s="7"/>
      <c r="T5" s="7"/>
      <c r="U5" s="7"/>
      <c r="V5" s="7"/>
      <c r="W5" s="7"/>
      <c r="X5" s="7"/>
      <c r="Y5" s="7"/>
      <c r="Z5" s="7"/>
      <c r="AA5" s="7"/>
      <c r="AB5" s="7"/>
      <c r="AC5" s="7"/>
      <c r="AD5" s="7"/>
      <c r="AE5" s="7"/>
      <c r="AF5" s="7"/>
      <c r="AG5" s="7"/>
      <c r="AH5" s="8"/>
    </row>
    <row r="6" spans="1:37" s="1" customFormat="1" ht="17.25" customHeight="1" thickBot="1" x14ac:dyDescent="0.25">
      <c r="A6" s="625" t="s">
        <v>3</v>
      </c>
      <c r="B6" s="626"/>
      <c r="C6" s="626"/>
      <c r="D6" s="626"/>
      <c r="E6" s="626"/>
      <c r="F6" s="626"/>
      <c r="G6" s="626"/>
      <c r="H6" s="627"/>
      <c r="I6" s="638" t="s">
        <v>4</v>
      </c>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40"/>
      <c r="AK6" s="9" t="s">
        <v>5</v>
      </c>
    </row>
    <row r="7" spans="1:37" s="1" customFormat="1" ht="15" customHeight="1" x14ac:dyDescent="0.2">
      <c r="A7" s="628" t="s">
        <v>6</v>
      </c>
      <c r="B7" s="630" t="s">
        <v>7</v>
      </c>
      <c r="C7" s="630" t="s">
        <v>8</v>
      </c>
      <c r="D7" s="630" t="s">
        <v>9</v>
      </c>
      <c r="E7" s="630" t="s">
        <v>10</v>
      </c>
      <c r="F7" s="634" t="s">
        <v>11</v>
      </c>
      <c r="G7" s="630" t="s">
        <v>12</v>
      </c>
      <c r="H7" s="632" t="s">
        <v>13</v>
      </c>
      <c r="I7" s="649" t="s">
        <v>783</v>
      </c>
      <c r="J7" s="636" t="s">
        <v>14</v>
      </c>
      <c r="K7" s="630" t="s">
        <v>15</v>
      </c>
      <c r="L7" s="630" t="s">
        <v>16</v>
      </c>
      <c r="M7" s="630" t="s">
        <v>17</v>
      </c>
      <c r="N7" s="630" t="s">
        <v>18</v>
      </c>
      <c r="O7" s="634" t="s">
        <v>19</v>
      </c>
      <c r="P7" s="630" t="s">
        <v>20</v>
      </c>
      <c r="Q7" s="634" t="s">
        <v>21</v>
      </c>
      <c r="R7" s="646" t="s">
        <v>22</v>
      </c>
      <c r="S7" s="644" t="s">
        <v>23</v>
      </c>
      <c r="T7" s="634"/>
      <c r="U7" s="634"/>
      <c r="V7" s="645"/>
      <c r="W7" s="644" t="s">
        <v>24</v>
      </c>
      <c r="X7" s="634"/>
      <c r="Y7" s="634"/>
      <c r="Z7" s="645"/>
      <c r="AA7" s="636" t="s">
        <v>25</v>
      </c>
      <c r="AB7" s="634" t="s">
        <v>26</v>
      </c>
      <c r="AC7" s="630" t="s">
        <v>27</v>
      </c>
      <c r="AD7" s="634" t="s">
        <v>21</v>
      </c>
      <c r="AE7" s="634" t="s">
        <v>28</v>
      </c>
      <c r="AF7" s="634" t="s">
        <v>29</v>
      </c>
      <c r="AG7" s="630" t="s">
        <v>30</v>
      </c>
      <c r="AH7" s="632" t="s">
        <v>31</v>
      </c>
      <c r="AK7" s="9" t="s">
        <v>32</v>
      </c>
    </row>
    <row r="8" spans="1:37" s="1" customFormat="1" ht="15.75" customHeight="1" thickBot="1" x14ac:dyDescent="0.25">
      <c r="A8" s="629"/>
      <c r="B8" s="631"/>
      <c r="C8" s="631"/>
      <c r="D8" s="631"/>
      <c r="E8" s="631"/>
      <c r="F8" s="635"/>
      <c r="G8" s="631"/>
      <c r="H8" s="633"/>
      <c r="I8" s="650"/>
      <c r="J8" s="637"/>
      <c r="K8" s="631"/>
      <c r="L8" s="631"/>
      <c r="M8" s="635"/>
      <c r="N8" s="631"/>
      <c r="O8" s="635"/>
      <c r="P8" s="631"/>
      <c r="Q8" s="635"/>
      <c r="R8" s="647"/>
      <c r="S8" s="384">
        <v>2021</v>
      </c>
      <c r="T8" s="383">
        <v>2022</v>
      </c>
      <c r="U8" s="383">
        <v>2023</v>
      </c>
      <c r="V8" s="385">
        <v>2024</v>
      </c>
      <c r="W8" s="384">
        <v>2021</v>
      </c>
      <c r="X8" s="383">
        <v>2022</v>
      </c>
      <c r="Y8" s="383">
        <v>2023</v>
      </c>
      <c r="Z8" s="385">
        <v>2024</v>
      </c>
      <c r="AA8" s="637"/>
      <c r="AB8" s="635"/>
      <c r="AC8" s="631"/>
      <c r="AD8" s="635"/>
      <c r="AE8" s="635"/>
      <c r="AF8" s="635"/>
      <c r="AG8" s="631"/>
      <c r="AH8" s="633"/>
      <c r="AK8" s="9" t="s">
        <v>33</v>
      </c>
    </row>
    <row r="9" spans="1:37" s="296" customFormat="1" ht="97.5" customHeight="1" x14ac:dyDescent="0.2">
      <c r="A9" s="651" t="s">
        <v>868</v>
      </c>
      <c r="B9" s="643" t="s">
        <v>46</v>
      </c>
      <c r="C9" s="643" t="s">
        <v>47</v>
      </c>
      <c r="D9" s="643" t="s">
        <v>1330</v>
      </c>
      <c r="E9" s="643" t="s">
        <v>784</v>
      </c>
      <c r="F9" s="643" t="s">
        <v>49</v>
      </c>
      <c r="G9" s="643" t="s">
        <v>36</v>
      </c>
      <c r="H9" s="648" t="s">
        <v>5</v>
      </c>
      <c r="I9" s="567" t="s">
        <v>785</v>
      </c>
      <c r="J9" s="568" t="s">
        <v>50</v>
      </c>
      <c r="K9" s="569" t="s">
        <v>51</v>
      </c>
      <c r="L9" s="569" t="s">
        <v>1323</v>
      </c>
      <c r="M9" s="569" t="s">
        <v>52</v>
      </c>
      <c r="N9" s="569" t="s">
        <v>5</v>
      </c>
      <c r="O9" s="569" t="s">
        <v>53</v>
      </c>
      <c r="P9" s="570" t="s">
        <v>1324</v>
      </c>
      <c r="Q9" s="571" t="s">
        <v>38</v>
      </c>
      <c r="R9" s="572">
        <v>1</v>
      </c>
      <c r="S9" s="573">
        <v>2</v>
      </c>
      <c r="T9" s="571">
        <v>2</v>
      </c>
      <c r="U9" s="571">
        <v>3</v>
      </c>
      <c r="V9" s="574">
        <v>3</v>
      </c>
      <c r="W9" s="575" t="s">
        <v>40</v>
      </c>
      <c r="X9" s="576" t="s">
        <v>40</v>
      </c>
      <c r="Y9" s="576" t="s">
        <v>40</v>
      </c>
      <c r="Z9" s="577" t="s">
        <v>40</v>
      </c>
      <c r="AA9" s="559" t="s">
        <v>54</v>
      </c>
      <c r="AB9" s="560" t="s">
        <v>41</v>
      </c>
      <c r="AC9" s="560" t="s">
        <v>32</v>
      </c>
      <c r="AD9" s="560" t="s">
        <v>42</v>
      </c>
      <c r="AE9" s="560" t="s">
        <v>43</v>
      </c>
      <c r="AF9" s="560" t="s">
        <v>39</v>
      </c>
      <c r="AG9" s="560" t="s">
        <v>1331</v>
      </c>
      <c r="AH9" s="561" t="s">
        <v>1332</v>
      </c>
    </row>
    <row r="10" spans="1:37" ht="210" customHeight="1" x14ac:dyDescent="0.2">
      <c r="A10" s="652"/>
      <c r="B10" s="611"/>
      <c r="C10" s="611"/>
      <c r="D10" s="611"/>
      <c r="E10" s="611"/>
      <c r="F10" s="611"/>
      <c r="G10" s="611"/>
      <c r="H10" s="619"/>
      <c r="I10" s="366" t="s">
        <v>786</v>
      </c>
      <c r="J10" s="371" t="s">
        <v>555</v>
      </c>
      <c r="K10" s="372" t="s">
        <v>556</v>
      </c>
      <c r="L10" s="373" t="s">
        <v>55</v>
      </c>
      <c r="M10" s="545" t="s">
        <v>1152</v>
      </c>
      <c r="N10" s="545" t="s">
        <v>5</v>
      </c>
      <c r="O10" s="526" t="s">
        <v>56</v>
      </c>
      <c r="P10" s="526" t="s">
        <v>1284</v>
      </c>
      <c r="Q10" s="19" t="s">
        <v>57</v>
      </c>
      <c r="R10" s="20" t="s">
        <v>39</v>
      </c>
      <c r="S10" s="21">
        <v>0.91</v>
      </c>
      <c r="T10" s="22">
        <v>0.91</v>
      </c>
      <c r="U10" s="22">
        <v>0.91</v>
      </c>
      <c r="V10" s="23">
        <v>0.91</v>
      </c>
      <c r="W10" s="24">
        <v>26840770</v>
      </c>
      <c r="X10" s="25">
        <f>+W10*(1+3%)</f>
        <v>27645993.100000001</v>
      </c>
      <c r="Y10" s="25">
        <f>+X10*(1+3%)</f>
        <v>28475372.893000003</v>
      </c>
      <c r="Z10" s="391">
        <f>+Y10*(1+3%)</f>
        <v>29329634.079790004</v>
      </c>
      <c r="AA10" s="387" t="s">
        <v>58</v>
      </c>
      <c r="AB10" s="534" t="s">
        <v>41</v>
      </c>
      <c r="AC10" s="534" t="s">
        <v>32</v>
      </c>
      <c r="AD10" s="534" t="s">
        <v>42</v>
      </c>
      <c r="AE10" s="537" t="s">
        <v>43</v>
      </c>
      <c r="AF10" s="541" t="s">
        <v>39</v>
      </c>
      <c r="AG10" s="540" t="s">
        <v>1333</v>
      </c>
      <c r="AH10" s="26" t="s">
        <v>1334</v>
      </c>
    </row>
    <row r="11" spans="1:37" ht="132.75" customHeight="1" x14ac:dyDescent="0.2">
      <c r="A11" s="610" t="s">
        <v>61</v>
      </c>
      <c r="B11" s="611" t="s">
        <v>62</v>
      </c>
      <c r="C11" s="611" t="s">
        <v>63</v>
      </c>
      <c r="D11" s="611" t="s">
        <v>1330</v>
      </c>
      <c r="E11" s="611" t="s">
        <v>787</v>
      </c>
      <c r="F11" s="534" t="s">
        <v>65</v>
      </c>
      <c r="G11" s="534" t="s">
        <v>66</v>
      </c>
      <c r="H11" s="536" t="s">
        <v>32</v>
      </c>
      <c r="I11" s="366" t="s">
        <v>788</v>
      </c>
      <c r="J11" s="518" t="s">
        <v>67</v>
      </c>
      <c r="K11" s="519" t="s">
        <v>557</v>
      </c>
      <c r="L11" s="519" t="s">
        <v>68</v>
      </c>
      <c r="M11" s="519" t="s">
        <v>69</v>
      </c>
      <c r="N11" s="519" t="s">
        <v>32</v>
      </c>
      <c r="O11" s="519" t="s">
        <v>1076</v>
      </c>
      <c r="P11" s="519" t="s">
        <v>1285</v>
      </c>
      <c r="Q11" s="306" t="s">
        <v>57</v>
      </c>
      <c r="R11" s="28">
        <v>0.95440000000000003</v>
      </c>
      <c r="S11" s="29">
        <v>0.95</v>
      </c>
      <c r="T11" s="30">
        <v>0.95</v>
      </c>
      <c r="U11" s="30">
        <v>0.95</v>
      </c>
      <c r="V11" s="31">
        <v>0.95</v>
      </c>
      <c r="W11" s="14" t="s">
        <v>40</v>
      </c>
      <c r="X11" s="15" t="s">
        <v>40</v>
      </c>
      <c r="Y11" s="15" t="s">
        <v>40</v>
      </c>
      <c r="Z11" s="392" t="s">
        <v>40</v>
      </c>
      <c r="AA11" s="562" t="s">
        <v>70</v>
      </c>
      <c r="AB11" s="541" t="s">
        <v>71</v>
      </c>
      <c r="AC11" s="534" t="s">
        <v>32</v>
      </c>
      <c r="AD11" s="534" t="s">
        <v>42</v>
      </c>
      <c r="AE11" s="534" t="s">
        <v>72</v>
      </c>
      <c r="AF11" s="534" t="s">
        <v>39</v>
      </c>
      <c r="AG11" s="537" t="s">
        <v>1331</v>
      </c>
      <c r="AH11" s="538" t="s">
        <v>1332</v>
      </c>
    </row>
    <row r="12" spans="1:37" ht="150" customHeight="1" x14ac:dyDescent="0.2">
      <c r="A12" s="610"/>
      <c r="B12" s="611"/>
      <c r="C12" s="611"/>
      <c r="D12" s="611"/>
      <c r="E12" s="611"/>
      <c r="F12" s="534" t="s">
        <v>74</v>
      </c>
      <c r="G12" s="534" t="s">
        <v>75</v>
      </c>
      <c r="H12" s="536" t="s">
        <v>32</v>
      </c>
      <c r="I12" s="366" t="s">
        <v>789</v>
      </c>
      <c r="J12" s="518" t="s">
        <v>76</v>
      </c>
      <c r="K12" s="519" t="s">
        <v>77</v>
      </c>
      <c r="L12" s="519" t="s">
        <v>78</v>
      </c>
      <c r="M12" s="519" t="s">
        <v>79</v>
      </c>
      <c r="N12" s="519" t="s">
        <v>32</v>
      </c>
      <c r="O12" s="519" t="s">
        <v>80</v>
      </c>
      <c r="P12" s="519" t="s">
        <v>81</v>
      </c>
      <c r="Q12" s="306" t="s">
        <v>57</v>
      </c>
      <c r="R12" s="550" t="s">
        <v>39</v>
      </c>
      <c r="S12" s="29">
        <v>0.9</v>
      </c>
      <c r="T12" s="30">
        <v>0.9</v>
      </c>
      <c r="U12" s="30">
        <v>0.9</v>
      </c>
      <c r="V12" s="31">
        <v>0.9</v>
      </c>
      <c r="W12" s="14" t="s">
        <v>40</v>
      </c>
      <c r="X12" s="15" t="s">
        <v>40</v>
      </c>
      <c r="Y12" s="15" t="s">
        <v>40</v>
      </c>
      <c r="Z12" s="392" t="s">
        <v>40</v>
      </c>
      <c r="AA12" s="562" t="s">
        <v>82</v>
      </c>
      <c r="AB12" s="534" t="s">
        <v>41</v>
      </c>
      <c r="AC12" s="534" t="s">
        <v>32</v>
      </c>
      <c r="AD12" s="534" t="s">
        <v>42</v>
      </c>
      <c r="AE12" s="537" t="s">
        <v>43</v>
      </c>
      <c r="AF12" s="534" t="s">
        <v>39</v>
      </c>
      <c r="AG12" s="537" t="s">
        <v>1331</v>
      </c>
      <c r="AH12" s="538" t="s">
        <v>1332</v>
      </c>
    </row>
    <row r="13" spans="1:37" ht="121.5" customHeight="1" x14ac:dyDescent="0.2">
      <c r="A13" s="610"/>
      <c r="B13" s="611"/>
      <c r="C13" s="611"/>
      <c r="D13" s="611"/>
      <c r="E13" s="611"/>
      <c r="F13" s="534" t="s">
        <v>84</v>
      </c>
      <c r="G13" s="534" t="s">
        <v>85</v>
      </c>
      <c r="H13" s="536" t="s">
        <v>32</v>
      </c>
      <c r="I13" s="366" t="s">
        <v>790</v>
      </c>
      <c r="J13" s="518" t="s">
        <v>1116</v>
      </c>
      <c r="K13" s="519" t="s">
        <v>1077</v>
      </c>
      <c r="L13" s="519" t="s">
        <v>87</v>
      </c>
      <c r="M13" s="519" t="s">
        <v>88</v>
      </c>
      <c r="N13" s="519" t="s">
        <v>32</v>
      </c>
      <c r="O13" s="519" t="s">
        <v>1335</v>
      </c>
      <c r="P13" s="534" t="s">
        <v>963</v>
      </c>
      <c r="Q13" s="306" t="s">
        <v>57</v>
      </c>
      <c r="R13" s="550" t="s">
        <v>39</v>
      </c>
      <c r="S13" s="29">
        <v>1</v>
      </c>
      <c r="T13" s="30">
        <v>1</v>
      </c>
      <c r="U13" s="30">
        <v>1</v>
      </c>
      <c r="V13" s="31">
        <v>1</v>
      </c>
      <c r="W13" s="14" t="s">
        <v>40</v>
      </c>
      <c r="X13" s="15" t="s">
        <v>40</v>
      </c>
      <c r="Y13" s="15" t="s">
        <v>40</v>
      </c>
      <c r="Z13" s="392" t="s">
        <v>40</v>
      </c>
      <c r="AA13" s="562" t="s">
        <v>89</v>
      </c>
      <c r="AB13" s="534" t="s">
        <v>41</v>
      </c>
      <c r="AC13" s="534" t="s">
        <v>32</v>
      </c>
      <c r="AD13" s="534" t="s">
        <v>42</v>
      </c>
      <c r="AE13" s="537" t="s">
        <v>43</v>
      </c>
      <c r="AF13" s="534" t="s">
        <v>39</v>
      </c>
      <c r="AG13" s="537" t="s">
        <v>1331</v>
      </c>
      <c r="AH13" s="538" t="s">
        <v>1336</v>
      </c>
    </row>
    <row r="14" spans="1:37" ht="197.25" customHeight="1" x14ac:dyDescent="0.2">
      <c r="A14" s="533" t="s">
        <v>91</v>
      </c>
      <c r="B14" s="534" t="s">
        <v>92</v>
      </c>
      <c r="C14" s="534" t="s">
        <v>93</v>
      </c>
      <c r="D14" s="534" t="s">
        <v>1337</v>
      </c>
      <c r="E14" s="534" t="s">
        <v>791</v>
      </c>
      <c r="F14" s="534" t="s">
        <v>96</v>
      </c>
      <c r="G14" s="534" t="s">
        <v>97</v>
      </c>
      <c r="H14" s="536" t="s">
        <v>33</v>
      </c>
      <c r="I14" s="366" t="s">
        <v>792</v>
      </c>
      <c r="J14" s="518" t="s">
        <v>98</v>
      </c>
      <c r="K14" s="519" t="s">
        <v>99</v>
      </c>
      <c r="L14" s="519" t="s">
        <v>100</v>
      </c>
      <c r="M14" s="519" t="s">
        <v>101</v>
      </c>
      <c r="N14" s="519" t="s">
        <v>32</v>
      </c>
      <c r="O14" s="519" t="s">
        <v>102</v>
      </c>
      <c r="P14" s="519" t="s">
        <v>103</v>
      </c>
      <c r="Q14" s="306" t="s">
        <v>57</v>
      </c>
      <c r="R14" s="550" t="s">
        <v>39</v>
      </c>
      <c r="S14" s="29">
        <v>1</v>
      </c>
      <c r="T14" s="30">
        <v>1</v>
      </c>
      <c r="U14" s="30">
        <v>1</v>
      </c>
      <c r="V14" s="31">
        <v>1</v>
      </c>
      <c r="W14" s="14" t="s">
        <v>40</v>
      </c>
      <c r="X14" s="15" t="s">
        <v>40</v>
      </c>
      <c r="Y14" s="15" t="s">
        <v>40</v>
      </c>
      <c r="Z14" s="392" t="s">
        <v>40</v>
      </c>
      <c r="AA14" s="562" t="s">
        <v>935</v>
      </c>
      <c r="AB14" s="534" t="s">
        <v>41</v>
      </c>
      <c r="AC14" s="534" t="s">
        <v>32</v>
      </c>
      <c r="AD14" s="534" t="s">
        <v>42</v>
      </c>
      <c r="AE14" s="537" t="s">
        <v>43</v>
      </c>
      <c r="AF14" s="534" t="s">
        <v>39</v>
      </c>
      <c r="AG14" s="537" t="s">
        <v>1331</v>
      </c>
      <c r="AH14" s="538" t="s">
        <v>1332</v>
      </c>
    </row>
    <row r="15" spans="1:37" ht="104.25" customHeight="1" x14ac:dyDescent="0.2">
      <c r="A15" s="610" t="s">
        <v>105</v>
      </c>
      <c r="B15" s="611" t="s">
        <v>106</v>
      </c>
      <c r="C15" s="611" t="s">
        <v>107</v>
      </c>
      <c r="D15" s="611" t="s">
        <v>1338</v>
      </c>
      <c r="E15" s="611" t="s">
        <v>793</v>
      </c>
      <c r="F15" s="532" t="s">
        <v>110</v>
      </c>
      <c r="G15" s="532" t="s">
        <v>111</v>
      </c>
      <c r="H15" s="536" t="s">
        <v>33</v>
      </c>
      <c r="I15" s="366" t="s">
        <v>794</v>
      </c>
      <c r="J15" s="518" t="s">
        <v>112</v>
      </c>
      <c r="K15" s="519" t="s">
        <v>113</v>
      </c>
      <c r="L15" s="519" t="s">
        <v>114</v>
      </c>
      <c r="M15" s="545" t="s">
        <v>115</v>
      </c>
      <c r="N15" s="519" t="s">
        <v>32</v>
      </c>
      <c r="O15" s="519" t="s">
        <v>116</v>
      </c>
      <c r="P15" s="545" t="s">
        <v>117</v>
      </c>
      <c r="Q15" s="306" t="s">
        <v>38</v>
      </c>
      <c r="R15" s="550">
        <v>1</v>
      </c>
      <c r="S15" s="12">
        <v>2</v>
      </c>
      <c r="T15" s="306">
        <v>2</v>
      </c>
      <c r="U15" s="306">
        <v>2</v>
      </c>
      <c r="V15" s="13">
        <v>2</v>
      </c>
      <c r="W15" s="548">
        <v>84865200</v>
      </c>
      <c r="X15" s="554">
        <f>X16</f>
        <v>113506000</v>
      </c>
      <c r="Y15" s="554">
        <f t="shared" ref="Y15:Z20" si="0">X15*1.03</f>
        <v>116911180</v>
      </c>
      <c r="Z15" s="552">
        <f t="shared" si="0"/>
        <v>120418515.40000001</v>
      </c>
      <c r="AA15" s="562" t="s">
        <v>118</v>
      </c>
      <c r="AB15" s="534" t="s">
        <v>41</v>
      </c>
      <c r="AC15" s="534" t="s">
        <v>32</v>
      </c>
      <c r="AD15" s="534" t="s">
        <v>42</v>
      </c>
      <c r="AE15" s="534" t="s">
        <v>43</v>
      </c>
      <c r="AF15" s="534" t="s">
        <v>119</v>
      </c>
      <c r="AG15" s="405" t="s">
        <v>1339</v>
      </c>
      <c r="AH15" s="536" t="s">
        <v>1340</v>
      </c>
    </row>
    <row r="16" spans="1:37" ht="182.25" customHeight="1" x14ac:dyDescent="0.2">
      <c r="A16" s="610"/>
      <c r="B16" s="611"/>
      <c r="C16" s="611"/>
      <c r="D16" s="611"/>
      <c r="E16" s="611"/>
      <c r="F16" s="532" t="s">
        <v>122</v>
      </c>
      <c r="G16" s="532" t="s">
        <v>123</v>
      </c>
      <c r="H16" s="536" t="s">
        <v>33</v>
      </c>
      <c r="I16" s="366" t="s">
        <v>795</v>
      </c>
      <c r="J16" s="518" t="s">
        <v>124</v>
      </c>
      <c r="K16" s="519" t="s">
        <v>125</v>
      </c>
      <c r="L16" s="519" t="s">
        <v>126</v>
      </c>
      <c r="M16" s="519" t="s">
        <v>127</v>
      </c>
      <c r="N16" s="519" t="s">
        <v>5</v>
      </c>
      <c r="O16" s="519" t="s">
        <v>128</v>
      </c>
      <c r="P16" s="519" t="s">
        <v>129</v>
      </c>
      <c r="Q16" s="306" t="s">
        <v>38</v>
      </c>
      <c r="R16" s="550" t="s">
        <v>39</v>
      </c>
      <c r="S16" s="12">
        <v>300</v>
      </c>
      <c r="T16" s="306">
        <v>320</v>
      </c>
      <c r="U16" s="306">
        <v>340</v>
      </c>
      <c r="V16" s="13">
        <v>360</v>
      </c>
      <c r="W16" s="548">
        <v>110200000</v>
      </c>
      <c r="X16" s="554">
        <f>W16*1.03</f>
        <v>113506000</v>
      </c>
      <c r="Y16" s="554">
        <f t="shared" si="0"/>
        <v>116911180</v>
      </c>
      <c r="Z16" s="552">
        <f t="shared" si="0"/>
        <v>120418515.40000001</v>
      </c>
      <c r="AA16" s="562" t="s">
        <v>130</v>
      </c>
      <c r="AB16" s="534" t="s">
        <v>41</v>
      </c>
      <c r="AC16" s="534" t="s">
        <v>32</v>
      </c>
      <c r="AD16" s="534" t="s">
        <v>42</v>
      </c>
      <c r="AE16" s="534" t="s">
        <v>43</v>
      </c>
      <c r="AF16" s="534" t="s">
        <v>119</v>
      </c>
      <c r="AG16" s="405" t="s">
        <v>1339</v>
      </c>
      <c r="AH16" s="536" t="s">
        <v>1340</v>
      </c>
    </row>
    <row r="17" spans="1:34" ht="115.5" customHeight="1" x14ac:dyDescent="0.2">
      <c r="A17" s="610" t="s">
        <v>105</v>
      </c>
      <c r="B17" s="611" t="s">
        <v>106</v>
      </c>
      <c r="C17" s="611" t="s">
        <v>131</v>
      </c>
      <c r="D17" s="611" t="s">
        <v>1330</v>
      </c>
      <c r="E17" s="609" t="s">
        <v>796</v>
      </c>
      <c r="F17" s="532" t="s">
        <v>133</v>
      </c>
      <c r="G17" s="532" t="s">
        <v>134</v>
      </c>
      <c r="H17" s="543" t="s">
        <v>32</v>
      </c>
      <c r="I17" s="362" t="s">
        <v>812</v>
      </c>
      <c r="J17" s="544" t="s">
        <v>135</v>
      </c>
      <c r="K17" s="545" t="s">
        <v>1079</v>
      </c>
      <c r="L17" s="519" t="s">
        <v>136</v>
      </c>
      <c r="M17" s="545" t="s">
        <v>1078</v>
      </c>
      <c r="N17" s="519" t="s">
        <v>5</v>
      </c>
      <c r="O17" s="519" t="s">
        <v>137</v>
      </c>
      <c r="P17" s="519" t="s">
        <v>1080</v>
      </c>
      <c r="Q17" s="306" t="s">
        <v>38</v>
      </c>
      <c r="R17" s="550" t="s">
        <v>39</v>
      </c>
      <c r="S17" s="12">
        <v>2</v>
      </c>
      <c r="T17" s="306">
        <v>1</v>
      </c>
      <c r="U17" s="306">
        <v>1</v>
      </c>
      <c r="V17" s="13">
        <v>1</v>
      </c>
      <c r="W17" s="547">
        <v>84900000</v>
      </c>
      <c r="X17" s="554">
        <f>W17*1.03</f>
        <v>87447000</v>
      </c>
      <c r="Y17" s="554">
        <f t="shared" si="0"/>
        <v>90070410</v>
      </c>
      <c r="Z17" s="552">
        <f t="shared" si="0"/>
        <v>92772522.299999997</v>
      </c>
      <c r="AA17" s="562" t="s">
        <v>138</v>
      </c>
      <c r="AB17" s="534" t="s">
        <v>41</v>
      </c>
      <c r="AC17" s="534" t="s">
        <v>32</v>
      </c>
      <c r="AD17" s="534" t="s">
        <v>42</v>
      </c>
      <c r="AE17" s="534" t="s">
        <v>43</v>
      </c>
      <c r="AF17" s="534" t="s">
        <v>119</v>
      </c>
      <c r="AG17" s="405" t="s">
        <v>1339</v>
      </c>
      <c r="AH17" s="536" t="s">
        <v>1340</v>
      </c>
    </row>
    <row r="18" spans="1:34" ht="91.5" customHeight="1" x14ac:dyDescent="0.2">
      <c r="A18" s="610"/>
      <c r="B18" s="611"/>
      <c r="C18" s="611"/>
      <c r="D18" s="611"/>
      <c r="E18" s="609"/>
      <c r="F18" s="609" t="s">
        <v>140</v>
      </c>
      <c r="G18" s="609" t="s">
        <v>141</v>
      </c>
      <c r="H18" s="619" t="s">
        <v>5</v>
      </c>
      <c r="I18" s="366" t="s">
        <v>813</v>
      </c>
      <c r="J18" s="518" t="s">
        <v>142</v>
      </c>
      <c r="K18" s="519" t="s">
        <v>143</v>
      </c>
      <c r="L18" s="519" t="s">
        <v>136</v>
      </c>
      <c r="M18" s="519" t="s">
        <v>1082</v>
      </c>
      <c r="N18" s="519" t="s">
        <v>5</v>
      </c>
      <c r="O18" s="519" t="s">
        <v>1081</v>
      </c>
      <c r="P18" s="519" t="s">
        <v>1117</v>
      </c>
      <c r="Q18" s="306" t="s">
        <v>57</v>
      </c>
      <c r="R18" s="550" t="s">
        <v>39</v>
      </c>
      <c r="S18" s="29">
        <v>1</v>
      </c>
      <c r="T18" s="30">
        <v>1</v>
      </c>
      <c r="U18" s="30">
        <v>1</v>
      </c>
      <c r="V18" s="31">
        <v>1</v>
      </c>
      <c r="W18" s="548">
        <v>11000000</v>
      </c>
      <c r="X18" s="554">
        <f>W18*1.03</f>
        <v>11330000</v>
      </c>
      <c r="Y18" s="554">
        <f t="shared" si="0"/>
        <v>11669900</v>
      </c>
      <c r="Z18" s="552">
        <f t="shared" si="0"/>
        <v>12019997</v>
      </c>
      <c r="AA18" s="562" t="s">
        <v>144</v>
      </c>
      <c r="AB18" s="534" t="s">
        <v>145</v>
      </c>
      <c r="AC18" s="534" t="s">
        <v>32</v>
      </c>
      <c r="AD18" s="534" t="s">
        <v>42</v>
      </c>
      <c r="AE18" s="534" t="s">
        <v>43</v>
      </c>
      <c r="AF18" s="534" t="s">
        <v>119</v>
      </c>
      <c r="AG18" s="405" t="s">
        <v>1339</v>
      </c>
      <c r="AH18" s="536" t="s">
        <v>1340</v>
      </c>
    </row>
    <row r="19" spans="1:34" ht="84.75" customHeight="1" x14ac:dyDescent="0.2">
      <c r="A19" s="610"/>
      <c r="B19" s="611"/>
      <c r="C19" s="611"/>
      <c r="D19" s="611"/>
      <c r="E19" s="609"/>
      <c r="F19" s="609"/>
      <c r="G19" s="609"/>
      <c r="H19" s="619"/>
      <c r="I19" s="366" t="s">
        <v>814</v>
      </c>
      <c r="J19" s="518" t="s">
        <v>146</v>
      </c>
      <c r="K19" s="519" t="s">
        <v>147</v>
      </c>
      <c r="L19" s="519" t="s">
        <v>136</v>
      </c>
      <c r="M19" s="519" t="s">
        <v>1084</v>
      </c>
      <c r="N19" s="519" t="s">
        <v>5</v>
      </c>
      <c r="O19" s="519" t="s">
        <v>148</v>
      </c>
      <c r="P19" s="519" t="s">
        <v>1120</v>
      </c>
      <c r="Q19" s="306" t="s">
        <v>57</v>
      </c>
      <c r="R19" s="550" t="s">
        <v>39</v>
      </c>
      <c r="S19" s="29">
        <v>1</v>
      </c>
      <c r="T19" s="30">
        <v>1</v>
      </c>
      <c r="U19" s="30">
        <v>1</v>
      </c>
      <c r="V19" s="31">
        <v>1</v>
      </c>
      <c r="W19" s="548">
        <v>5000000</v>
      </c>
      <c r="X19" s="554">
        <f>W19*1.03</f>
        <v>5150000</v>
      </c>
      <c r="Y19" s="554">
        <f t="shared" si="0"/>
        <v>5304500</v>
      </c>
      <c r="Z19" s="552">
        <f t="shared" si="0"/>
        <v>5463635</v>
      </c>
      <c r="AA19" s="562" t="s">
        <v>149</v>
      </c>
      <c r="AB19" s="534" t="s">
        <v>145</v>
      </c>
      <c r="AC19" s="534" t="s">
        <v>32</v>
      </c>
      <c r="AD19" s="534" t="s">
        <v>42</v>
      </c>
      <c r="AE19" s="534" t="s">
        <v>43</v>
      </c>
      <c r="AF19" s="534" t="s">
        <v>119</v>
      </c>
      <c r="AG19" s="405" t="s">
        <v>1339</v>
      </c>
      <c r="AH19" s="536" t="s">
        <v>1340</v>
      </c>
    </row>
    <row r="20" spans="1:34" ht="84.75" customHeight="1" x14ac:dyDescent="0.2">
      <c r="A20" s="610"/>
      <c r="B20" s="611"/>
      <c r="C20" s="611"/>
      <c r="D20" s="611"/>
      <c r="E20" s="609"/>
      <c r="F20" s="609"/>
      <c r="G20" s="609"/>
      <c r="H20" s="619"/>
      <c r="I20" s="366" t="s">
        <v>815</v>
      </c>
      <c r="J20" s="518" t="s">
        <v>150</v>
      </c>
      <c r="K20" s="519" t="s">
        <v>151</v>
      </c>
      <c r="L20" s="519" t="s">
        <v>136</v>
      </c>
      <c r="M20" s="519" t="s">
        <v>1083</v>
      </c>
      <c r="N20" s="519" t="s">
        <v>5</v>
      </c>
      <c r="O20" s="519" t="s">
        <v>152</v>
      </c>
      <c r="P20" s="519" t="s">
        <v>1123</v>
      </c>
      <c r="Q20" s="306" t="s">
        <v>57</v>
      </c>
      <c r="R20" s="550" t="s">
        <v>39</v>
      </c>
      <c r="S20" s="29">
        <v>1</v>
      </c>
      <c r="T20" s="558">
        <v>1</v>
      </c>
      <c r="U20" s="558">
        <v>1</v>
      </c>
      <c r="V20" s="45">
        <v>1</v>
      </c>
      <c r="W20" s="547">
        <v>10000000</v>
      </c>
      <c r="X20" s="553">
        <f>W20*1.03</f>
        <v>10300000</v>
      </c>
      <c r="Y20" s="553">
        <f t="shared" si="0"/>
        <v>10609000</v>
      </c>
      <c r="Z20" s="551">
        <f t="shared" si="0"/>
        <v>10927270</v>
      </c>
      <c r="AA20" s="562" t="s">
        <v>153</v>
      </c>
      <c r="AB20" s="534" t="s">
        <v>145</v>
      </c>
      <c r="AC20" s="534" t="s">
        <v>32</v>
      </c>
      <c r="AD20" s="534" t="s">
        <v>42</v>
      </c>
      <c r="AE20" s="534" t="s">
        <v>43</v>
      </c>
      <c r="AF20" s="534" t="s">
        <v>119</v>
      </c>
      <c r="AG20" s="405" t="s">
        <v>1339</v>
      </c>
      <c r="AH20" s="536" t="s">
        <v>1340</v>
      </c>
    </row>
    <row r="21" spans="1:34" ht="197.25" customHeight="1" x14ac:dyDescent="0.2">
      <c r="A21" s="612" t="s">
        <v>154</v>
      </c>
      <c r="B21" s="614" t="s">
        <v>92</v>
      </c>
      <c r="C21" s="614" t="s">
        <v>93</v>
      </c>
      <c r="D21" s="616" t="s">
        <v>1338</v>
      </c>
      <c r="E21" s="616" t="s">
        <v>797</v>
      </c>
      <c r="F21" s="616" t="s">
        <v>156</v>
      </c>
      <c r="G21" s="616" t="s">
        <v>157</v>
      </c>
      <c r="H21" s="617" t="s">
        <v>33</v>
      </c>
      <c r="I21" s="406" t="s">
        <v>816</v>
      </c>
      <c r="J21" s="612" t="s">
        <v>158</v>
      </c>
      <c r="K21" s="616" t="s">
        <v>1196</v>
      </c>
      <c r="L21" s="616" t="s">
        <v>159</v>
      </c>
      <c r="M21" s="616" t="s">
        <v>681</v>
      </c>
      <c r="N21" s="616" t="s">
        <v>32</v>
      </c>
      <c r="O21" s="616" t="s">
        <v>1341</v>
      </c>
      <c r="P21" s="680" t="s">
        <v>848</v>
      </c>
      <c r="Q21" s="667" t="s">
        <v>57</v>
      </c>
      <c r="R21" s="36">
        <v>0.2</v>
      </c>
      <c r="S21" s="37" t="s">
        <v>1342</v>
      </c>
      <c r="T21" s="38">
        <v>0.25</v>
      </c>
      <c r="U21" s="38">
        <v>0.3</v>
      </c>
      <c r="V21" s="39">
        <v>0.3</v>
      </c>
      <c r="W21" s="40">
        <v>2600000000</v>
      </c>
      <c r="X21" s="41">
        <v>2600000000</v>
      </c>
      <c r="Y21" s="41">
        <v>3000000000</v>
      </c>
      <c r="Z21" s="393">
        <v>3000000000</v>
      </c>
      <c r="AA21" s="388" t="s">
        <v>849</v>
      </c>
      <c r="AB21" s="534" t="s">
        <v>160</v>
      </c>
      <c r="AC21" s="534" t="s">
        <v>32</v>
      </c>
      <c r="AD21" s="534" t="s">
        <v>42</v>
      </c>
      <c r="AE21" s="537" t="s">
        <v>43</v>
      </c>
      <c r="AF21" s="532" t="s">
        <v>1343</v>
      </c>
      <c r="AG21" s="532" t="s">
        <v>1344</v>
      </c>
      <c r="AH21" s="543" t="s">
        <v>1345</v>
      </c>
    </row>
    <row r="22" spans="1:34" ht="197.25" customHeight="1" x14ac:dyDescent="0.2">
      <c r="A22" s="613"/>
      <c r="B22" s="615"/>
      <c r="C22" s="615"/>
      <c r="D22" s="615"/>
      <c r="E22" s="615"/>
      <c r="F22" s="615"/>
      <c r="G22" s="615"/>
      <c r="H22" s="618"/>
      <c r="I22" s="406" t="s">
        <v>975</v>
      </c>
      <c r="J22" s="613"/>
      <c r="K22" s="615"/>
      <c r="L22" s="615"/>
      <c r="M22" s="615"/>
      <c r="N22" s="615"/>
      <c r="O22" s="679"/>
      <c r="P22" s="615"/>
      <c r="Q22" s="681"/>
      <c r="R22" s="36" t="s">
        <v>976</v>
      </c>
      <c r="S22" s="37" t="s">
        <v>945</v>
      </c>
      <c r="T22" s="38" t="s">
        <v>945</v>
      </c>
      <c r="U22" s="38" t="s">
        <v>945</v>
      </c>
      <c r="V22" s="39" t="s">
        <v>945</v>
      </c>
      <c r="W22" s="40">
        <v>0</v>
      </c>
      <c r="X22" s="41">
        <v>0</v>
      </c>
      <c r="Y22" s="41">
        <v>0</v>
      </c>
      <c r="Z22" s="393">
        <v>0</v>
      </c>
      <c r="AA22" s="388" t="s">
        <v>977</v>
      </c>
      <c r="AB22" s="534" t="s">
        <v>978</v>
      </c>
      <c r="AC22" s="534" t="s">
        <v>32</v>
      </c>
      <c r="AD22" s="534" t="s">
        <v>42</v>
      </c>
      <c r="AE22" s="537" t="s">
        <v>43</v>
      </c>
      <c r="AF22" s="532" t="s">
        <v>947</v>
      </c>
      <c r="AG22" s="532" t="s">
        <v>1344</v>
      </c>
      <c r="AH22" s="543" t="s">
        <v>1346</v>
      </c>
    </row>
    <row r="23" spans="1:34" ht="153" customHeight="1" x14ac:dyDescent="0.2">
      <c r="A23" s="436" t="s">
        <v>154</v>
      </c>
      <c r="B23" s="542" t="s">
        <v>92</v>
      </c>
      <c r="C23" s="542" t="s">
        <v>682</v>
      </c>
      <c r="D23" s="535" t="s">
        <v>1337</v>
      </c>
      <c r="E23" s="438" t="s">
        <v>798</v>
      </c>
      <c r="F23" s="438" t="s">
        <v>1197</v>
      </c>
      <c r="G23" s="438" t="s">
        <v>164</v>
      </c>
      <c r="H23" s="437" t="s">
        <v>33</v>
      </c>
      <c r="I23" s="362" t="s">
        <v>817</v>
      </c>
      <c r="J23" s="544" t="s">
        <v>165</v>
      </c>
      <c r="K23" s="545" t="s">
        <v>166</v>
      </c>
      <c r="L23" s="545" t="s">
        <v>167</v>
      </c>
      <c r="M23" s="545" t="s">
        <v>1347</v>
      </c>
      <c r="N23" s="545" t="s">
        <v>32</v>
      </c>
      <c r="O23" s="545" t="s">
        <v>1348</v>
      </c>
      <c r="P23" s="545" t="s">
        <v>1325</v>
      </c>
      <c r="Q23" s="549" t="s">
        <v>57</v>
      </c>
      <c r="R23" s="36">
        <v>1</v>
      </c>
      <c r="S23" s="37">
        <v>1</v>
      </c>
      <c r="T23" s="38">
        <v>1</v>
      </c>
      <c r="U23" s="38">
        <v>1</v>
      </c>
      <c r="V23" s="39">
        <v>1</v>
      </c>
      <c r="W23" s="40">
        <v>500000000</v>
      </c>
      <c r="X23" s="41">
        <v>515000000</v>
      </c>
      <c r="Y23" s="41">
        <v>530000000</v>
      </c>
      <c r="Z23" s="393">
        <v>545000000</v>
      </c>
      <c r="AA23" s="388" t="s">
        <v>168</v>
      </c>
      <c r="AB23" s="532" t="s">
        <v>160</v>
      </c>
      <c r="AC23" s="534" t="s">
        <v>32</v>
      </c>
      <c r="AD23" s="534" t="s">
        <v>42</v>
      </c>
      <c r="AE23" s="537" t="s">
        <v>43</v>
      </c>
      <c r="AF23" s="532" t="s">
        <v>39</v>
      </c>
      <c r="AG23" s="532" t="s">
        <v>1344</v>
      </c>
      <c r="AH23" s="543" t="s">
        <v>1345</v>
      </c>
    </row>
    <row r="24" spans="1:34" ht="119.25" customHeight="1" x14ac:dyDescent="0.2">
      <c r="A24" s="610" t="s">
        <v>154</v>
      </c>
      <c r="B24" s="611" t="s">
        <v>92</v>
      </c>
      <c r="C24" s="611" t="s">
        <v>93</v>
      </c>
      <c r="D24" s="611" t="s">
        <v>1349</v>
      </c>
      <c r="E24" s="611" t="s">
        <v>800</v>
      </c>
      <c r="F24" s="611" t="s">
        <v>172</v>
      </c>
      <c r="G24" s="532" t="s">
        <v>173</v>
      </c>
      <c r="H24" s="543" t="s">
        <v>33</v>
      </c>
      <c r="I24" s="362" t="s">
        <v>818</v>
      </c>
      <c r="J24" s="518" t="s">
        <v>174</v>
      </c>
      <c r="K24" s="519" t="s">
        <v>175</v>
      </c>
      <c r="L24" s="519" t="s">
        <v>176</v>
      </c>
      <c r="M24" s="519" t="s">
        <v>177</v>
      </c>
      <c r="N24" s="545" t="s">
        <v>32</v>
      </c>
      <c r="O24" s="545" t="s">
        <v>1326</v>
      </c>
      <c r="P24" s="519" t="s">
        <v>1087</v>
      </c>
      <c r="Q24" s="549" t="s">
        <v>57</v>
      </c>
      <c r="R24" s="76" t="s">
        <v>39</v>
      </c>
      <c r="S24" s="37">
        <v>1</v>
      </c>
      <c r="T24" s="38">
        <v>1</v>
      </c>
      <c r="U24" s="38">
        <v>1</v>
      </c>
      <c r="V24" s="39">
        <v>1</v>
      </c>
      <c r="W24" s="42">
        <v>0</v>
      </c>
      <c r="X24" s="43">
        <v>0</v>
      </c>
      <c r="Y24" s="43">
        <v>0</v>
      </c>
      <c r="Z24" s="394">
        <v>0</v>
      </c>
      <c r="AA24" s="388" t="s">
        <v>852</v>
      </c>
      <c r="AB24" s="532" t="s">
        <v>160</v>
      </c>
      <c r="AC24" s="534" t="s">
        <v>32</v>
      </c>
      <c r="AD24" s="534" t="s">
        <v>42</v>
      </c>
      <c r="AE24" s="537" t="s">
        <v>43</v>
      </c>
      <c r="AF24" s="532" t="s">
        <v>39</v>
      </c>
      <c r="AG24" s="532" t="s">
        <v>1350</v>
      </c>
      <c r="AH24" s="543" t="s">
        <v>178</v>
      </c>
    </row>
    <row r="25" spans="1:34" ht="138" customHeight="1" x14ac:dyDescent="0.2">
      <c r="A25" s="610"/>
      <c r="B25" s="611"/>
      <c r="C25" s="611"/>
      <c r="D25" s="611"/>
      <c r="E25" s="611"/>
      <c r="F25" s="611"/>
      <c r="G25" s="532" t="s">
        <v>1198</v>
      </c>
      <c r="H25" s="543" t="s">
        <v>33</v>
      </c>
      <c r="I25" s="362" t="s">
        <v>819</v>
      </c>
      <c r="J25" s="518" t="s">
        <v>1126</v>
      </c>
      <c r="K25" s="519" t="s">
        <v>1127</v>
      </c>
      <c r="L25" s="519" t="s">
        <v>1128</v>
      </c>
      <c r="M25" s="519" t="s">
        <v>1129</v>
      </c>
      <c r="N25" s="545" t="s">
        <v>32</v>
      </c>
      <c r="O25" s="519" t="s">
        <v>1130</v>
      </c>
      <c r="P25" s="519" t="s">
        <v>1131</v>
      </c>
      <c r="Q25" s="306" t="s">
        <v>57</v>
      </c>
      <c r="R25" s="76" t="s">
        <v>39</v>
      </c>
      <c r="S25" s="44">
        <v>0.7</v>
      </c>
      <c r="T25" s="558">
        <v>0.8</v>
      </c>
      <c r="U25" s="558">
        <v>0.9</v>
      </c>
      <c r="V25" s="45">
        <v>1</v>
      </c>
      <c r="W25" s="547">
        <v>400000000</v>
      </c>
      <c r="X25" s="553">
        <v>415000000</v>
      </c>
      <c r="Y25" s="553">
        <v>430000000</v>
      </c>
      <c r="Z25" s="551">
        <v>445000000</v>
      </c>
      <c r="AA25" s="388" t="s">
        <v>853</v>
      </c>
      <c r="AB25" s="532" t="s">
        <v>160</v>
      </c>
      <c r="AC25" s="534" t="s">
        <v>32</v>
      </c>
      <c r="AD25" s="534" t="s">
        <v>42</v>
      </c>
      <c r="AE25" s="537" t="s">
        <v>43</v>
      </c>
      <c r="AF25" s="532" t="s">
        <v>39</v>
      </c>
      <c r="AG25" s="532" t="s">
        <v>1350</v>
      </c>
      <c r="AH25" s="543" t="s">
        <v>178</v>
      </c>
    </row>
    <row r="26" spans="1:34" ht="141.75" customHeight="1" x14ac:dyDescent="0.2">
      <c r="A26" s="610" t="s">
        <v>180</v>
      </c>
      <c r="B26" s="611" t="s">
        <v>181</v>
      </c>
      <c r="C26" s="611" t="s">
        <v>182</v>
      </c>
      <c r="D26" s="611" t="s">
        <v>1351</v>
      </c>
      <c r="E26" s="609" t="s">
        <v>799</v>
      </c>
      <c r="F26" s="609" t="s">
        <v>540</v>
      </c>
      <c r="G26" s="609" t="s">
        <v>185</v>
      </c>
      <c r="H26" s="619" t="s">
        <v>32</v>
      </c>
      <c r="I26" s="366" t="s">
        <v>820</v>
      </c>
      <c r="J26" s="518" t="s">
        <v>186</v>
      </c>
      <c r="K26" s="519" t="s">
        <v>187</v>
      </c>
      <c r="L26" s="519" t="s">
        <v>541</v>
      </c>
      <c r="M26" s="519" t="s">
        <v>1136</v>
      </c>
      <c r="N26" s="545" t="s">
        <v>32</v>
      </c>
      <c r="O26" s="519" t="s">
        <v>1137</v>
      </c>
      <c r="P26" s="545" t="s">
        <v>1352</v>
      </c>
      <c r="Q26" s="306" t="s">
        <v>57</v>
      </c>
      <c r="R26" s="46" t="s">
        <v>39</v>
      </c>
      <c r="S26" s="49">
        <v>1</v>
      </c>
      <c r="T26" s="557" t="s">
        <v>40</v>
      </c>
      <c r="U26" s="557" t="s">
        <v>40</v>
      </c>
      <c r="V26" s="50" t="s">
        <v>40</v>
      </c>
      <c r="W26" s="548">
        <v>150000000</v>
      </c>
      <c r="X26" s="553">
        <v>0</v>
      </c>
      <c r="Y26" s="553">
        <v>0</v>
      </c>
      <c r="Z26" s="551">
        <v>0</v>
      </c>
      <c r="AA26" s="388" t="s">
        <v>1353</v>
      </c>
      <c r="AB26" s="534" t="s">
        <v>1354</v>
      </c>
      <c r="AC26" s="534" t="s">
        <v>32</v>
      </c>
      <c r="AD26" s="534" t="s">
        <v>42</v>
      </c>
      <c r="AE26" s="537" t="s">
        <v>43</v>
      </c>
      <c r="AF26" s="532" t="s">
        <v>188</v>
      </c>
      <c r="AG26" s="532" t="s">
        <v>1344</v>
      </c>
      <c r="AH26" s="543" t="s">
        <v>1355</v>
      </c>
    </row>
    <row r="27" spans="1:34" ht="122.25" customHeight="1" x14ac:dyDescent="0.2">
      <c r="A27" s="610"/>
      <c r="B27" s="611"/>
      <c r="C27" s="611"/>
      <c r="D27" s="611"/>
      <c r="E27" s="609"/>
      <c r="F27" s="609"/>
      <c r="G27" s="609"/>
      <c r="H27" s="619"/>
      <c r="I27" s="366" t="s">
        <v>821</v>
      </c>
      <c r="J27" s="518" t="s">
        <v>189</v>
      </c>
      <c r="K27" s="519" t="s">
        <v>543</v>
      </c>
      <c r="L27" s="519" t="s">
        <v>190</v>
      </c>
      <c r="M27" s="519" t="s">
        <v>1088</v>
      </c>
      <c r="N27" s="545" t="s">
        <v>5</v>
      </c>
      <c r="O27" s="519" t="s">
        <v>544</v>
      </c>
      <c r="P27" s="545" t="s">
        <v>1327</v>
      </c>
      <c r="Q27" s="306" t="s">
        <v>57</v>
      </c>
      <c r="R27" s="439">
        <v>1</v>
      </c>
      <c r="S27" s="49">
        <v>1</v>
      </c>
      <c r="T27" s="47" t="s">
        <v>40</v>
      </c>
      <c r="U27" s="47" t="s">
        <v>40</v>
      </c>
      <c r="V27" s="48" t="s">
        <v>40</v>
      </c>
      <c r="W27" s="547">
        <v>0</v>
      </c>
      <c r="X27" s="553">
        <v>0</v>
      </c>
      <c r="Y27" s="553">
        <v>0</v>
      </c>
      <c r="Z27" s="551">
        <v>0</v>
      </c>
      <c r="AA27" s="388" t="s">
        <v>545</v>
      </c>
      <c r="AB27" s="534" t="s">
        <v>160</v>
      </c>
      <c r="AC27" s="534" t="s">
        <v>32</v>
      </c>
      <c r="AD27" s="534" t="s">
        <v>42</v>
      </c>
      <c r="AE27" s="537" t="s">
        <v>43</v>
      </c>
      <c r="AF27" s="532" t="s">
        <v>39</v>
      </c>
      <c r="AG27" s="532" t="s">
        <v>1344</v>
      </c>
      <c r="AH27" s="543" t="s">
        <v>1355</v>
      </c>
    </row>
    <row r="28" spans="1:34" ht="282.75" customHeight="1" x14ac:dyDescent="0.2">
      <c r="A28" s="533" t="s">
        <v>105</v>
      </c>
      <c r="B28" s="534" t="s">
        <v>106</v>
      </c>
      <c r="C28" s="534" t="s">
        <v>191</v>
      </c>
      <c r="D28" s="534" t="s">
        <v>1330</v>
      </c>
      <c r="E28" s="534" t="s">
        <v>801</v>
      </c>
      <c r="F28" s="534" t="s">
        <v>193</v>
      </c>
      <c r="G28" s="532" t="s">
        <v>194</v>
      </c>
      <c r="H28" s="536" t="s">
        <v>5</v>
      </c>
      <c r="I28" s="366" t="s">
        <v>822</v>
      </c>
      <c r="J28" s="518" t="s">
        <v>195</v>
      </c>
      <c r="K28" s="519" t="s">
        <v>558</v>
      </c>
      <c r="L28" s="519" t="s">
        <v>196</v>
      </c>
      <c r="M28" s="519" t="s">
        <v>1153</v>
      </c>
      <c r="N28" s="545" t="s">
        <v>5</v>
      </c>
      <c r="O28" s="519" t="s">
        <v>1089</v>
      </c>
      <c r="P28" s="519" t="s">
        <v>1154</v>
      </c>
      <c r="Q28" s="306" t="s">
        <v>57</v>
      </c>
      <c r="R28" s="46" t="s">
        <v>39</v>
      </c>
      <c r="S28" s="49">
        <v>1</v>
      </c>
      <c r="T28" s="557">
        <v>1</v>
      </c>
      <c r="U28" s="557">
        <v>1</v>
      </c>
      <c r="V28" s="50">
        <v>1</v>
      </c>
      <c r="W28" s="547">
        <v>186174190</v>
      </c>
      <c r="X28" s="553">
        <v>191759416</v>
      </c>
      <c r="Y28" s="553">
        <v>197512198</v>
      </c>
      <c r="Z28" s="551">
        <v>203437563</v>
      </c>
      <c r="AA28" s="388" t="s">
        <v>851</v>
      </c>
      <c r="AB28" s="534" t="s">
        <v>41</v>
      </c>
      <c r="AC28" s="534" t="s">
        <v>32</v>
      </c>
      <c r="AD28" s="534" t="s">
        <v>42</v>
      </c>
      <c r="AE28" s="537" t="s">
        <v>43</v>
      </c>
      <c r="AF28" s="532" t="s">
        <v>197</v>
      </c>
      <c r="AG28" s="540" t="s">
        <v>1333</v>
      </c>
      <c r="AH28" s="543" t="s">
        <v>936</v>
      </c>
    </row>
    <row r="29" spans="1:34" s="297" customFormat="1" ht="145.5" customHeight="1" x14ac:dyDescent="0.2">
      <c r="A29" s="610" t="s">
        <v>105</v>
      </c>
      <c r="B29" s="611" t="s">
        <v>199</v>
      </c>
      <c r="C29" s="657" t="s">
        <v>200</v>
      </c>
      <c r="D29" s="657" t="s">
        <v>1330</v>
      </c>
      <c r="E29" s="657" t="s">
        <v>802</v>
      </c>
      <c r="F29" s="541" t="s">
        <v>201</v>
      </c>
      <c r="G29" s="532" t="s">
        <v>202</v>
      </c>
      <c r="H29" s="59" t="s">
        <v>32</v>
      </c>
      <c r="I29" s="367" t="s">
        <v>823</v>
      </c>
      <c r="J29" s="371" t="s">
        <v>203</v>
      </c>
      <c r="K29" s="372" t="s">
        <v>204</v>
      </c>
      <c r="L29" s="372" t="s">
        <v>205</v>
      </c>
      <c r="M29" s="545" t="s">
        <v>1090</v>
      </c>
      <c r="N29" s="545" t="s">
        <v>5</v>
      </c>
      <c r="O29" s="545" t="s">
        <v>206</v>
      </c>
      <c r="P29" s="545" t="s">
        <v>1286</v>
      </c>
      <c r="Q29" s="306" t="s">
        <v>57</v>
      </c>
      <c r="R29" s="51" t="s">
        <v>39</v>
      </c>
      <c r="S29" s="52">
        <v>0.9</v>
      </c>
      <c r="T29" s="53">
        <v>0.9</v>
      </c>
      <c r="U29" s="53">
        <v>0.9</v>
      </c>
      <c r="V29" s="54">
        <v>0.9</v>
      </c>
      <c r="W29" s="55">
        <f>1583843597+769009987+187131500+84000000+84614676</f>
        <v>2708599760</v>
      </c>
      <c r="X29" s="56">
        <v>2789857753</v>
      </c>
      <c r="Y29" s="56">
        <v>2873553485</v>
      </c>
      <c r="Z29" s="395">
        <v>2959760000</v>
      </c>
      <c r="AA29" s="389" t="s">
        <v>207</v>
      </c>
      <c r="AB29" s="541" t="s">
        <v>208</v>
      </c>
      <c r="AC29" s="534" t="s">
        <v>32</v>
      </c>
      <c r="AD29" s="534" t="s">
        <v>42</v>
      </c>
      <c r="AE29" s="537" t="s">
        <v>43</v>
      </c>
      <c r="AF29" s="58" t="s">
        <v>209</v>
      </c>
      <c r="AG29" s="540" t="s">
        <v>1333</v>
      </c>
      <c r="AH29" s="59" t="s">
        <v>1356</v>
      </c>
    </row>
    <row r="30" spans="1:34" ht="108" customHeight="1" x14ac:dyDescent="0.2">
      <c r="A30" s="610"/>
      <c r="B30" s="611"/>
      <c r="C30" s="657"/>
      <c r="D30" s="657"/>
      <c r="E30" s="657"/>
      <c r="F30" s="539" t="s">
        <v>211</v>
      </c>
      <c r="G30" s="532" t="s">
        <v>212</v>
      </c>
      <c r="H30" s="59" t="s">
        <v>5</v>
      </c>
      <c r="I30" s="367" t="s">
        <v>824</v>
      </c>
      <c r="J30" s="371" t="s">
        <v>213</v>
      </c>
      <c r="K30" s="556" t="s">
        <v>214</v>
      </c>
      <c r="L30" s="556" t="s">
        <v>1093</v>
      </c>
      <c r="M30" s="545" t="s">
        <v>1094</v>
      </c>
      <c r="N30" s="545" t="s">
        <v>5</v>
      </c>
      <c r="O30" s="545" t="s">
        <v>215</v>
      </c>
      <c r="P30" s="545" t="s">
        <v>1357</v>
      </c>
      <c r="Q30" s="306" t="s">
        <v>57</v>
      </c>
      <c r="R30" s="62" t="s">
        <v>39</v>
      </c>
      <c r="S30" s="63">
        <v>0.1</v>
      </c>
      <c r="T30" s="64">
        <v>0.5</v>
      </c>
      <c r="U30" s="64">
        <v>0.2</v>
      </c>
      <c r="V30" s="65">
        <v>0.2</v>
      </c>
      <c r="W30" s="66">
        <v>0</v>
      </c>
      <c r="X30" s="25">
        <v>40000000</v>
      </c>
      <c r="Y30" s="25">
        <v>10300000</v>
      </c>
      <c r="Z30" s="391">
        <v>10609000</v>
      </c>
      <c r="AA30" s="389" t="s">
        <v>217</v>
      </c>
      <c r="AB30" s="541" t="s">
        <v>216</v>
      </c>
      <c r="AC30" s="534" t="s">
        <v>32</v>
      </c>
      <c r="AD30" s="539" t="s">
        <v>42</v>
      </c>
      <c r="AE30" s="537" t="s">
        <v>43</v>
      </c>
      <c r="AF30" s="541" t="s">
        <v>218</v>
      </c>
      <c r="AG30" s="540" t="s">
        <v>1333</v>
      </c>
      <c r="AH30" s="555" t="s">
        <v>1358</v>
      </c>
    </row>
    <row r="31" spans="1:34" ht="116.25" customHeight="1" x14ac:dyDescent="0.2">
      <c r="A31" s="610"/>
      <c r="B31" s="611"/>
      <c r="C31" s="657"/>
      <c r="D31" s="657"/>
      <c r="E31" s="657"/>
      <c r="F31" s="541" t="s">
        <v>220</v>
      </c>
      <c r="G31" s="532" t="s">
        <v>221</v>
      </c>
      <c r="H31" s="555" t="s">
        <v>5</v>
      </c>
      <c r="I31" s="363" t="s">
        <v>825</v>
      </c>
      <c r="J31" s="371" t="s">
        <v>222</v>
      </c>
      <c r="K31" s="556" t="s">
        <v>223</v>
      </c>
      <c r="L31" s="372" t="s">
        <v>224</v>
      </c>
      <c r="M31" s="519" t="s">
        <v>1096</v>
      </c>
      <c r="N31" s="545" t="s">
        <v>5</v>
      </c>
      <c r="O31" s="545" t="s">
        <v>225</v>
      </c>
      <c r="P31" s="545" t="s">
        <v>1097</v>
      </c>
      <c r="Q31" s="306" t="s">
        <v>57</v>
      </c>
      <c r="R31" s="62" t="s">
        <v>39</v>
      </c>
      <c r="S31" s="63">
        <v>0.3</v>
      </c>
      <c r="T31" s="64">
        <v>0.3</v>
      </c>
      <c r="U31" s="64">
        <v>0.2</v>
      </c>
      <c r="V31" s="65">
        <v>0.2</v>
      </c>
      <c r="W31" s="66">
        <v>30000000</v>
      </c>
      <c r="X31" s="68">
        <v>30900000</v>
      </c>
      <c r="Y31" s="68">
        <v>21200000</v>
      </c>
      <c r="Z31" s="396">
        <v>21836000</v>
      </c>
      <c r="AA31" s="390" t="s">
        <v>227</v>
      </c>
      <c r="AB31" s="541" t="s">
        <v>226</v>
      </c>
      <c r="AC31" s="534" t="s">
        <v>32</v>
      </c>
      <c r="AD31" s="539" t="s">
        <v>42</v>
      </c>
      <c r="AE31" s="537" t="s">
        <v>43</v>
      </c>
      <c r="AF31" s="541" t="s">
        <v>228</v>
      </c>
      <c r="AG31" s="540" t="s">
        <v>1333</v>
      </c>
      <c r="AH31" s="555" t="s">
        <v>1358</v>
      </c>
    </row>
    <row r="32" spans="1:34" ht="144.75" customHeight="1" x14ac:dyDescent="0.2">
      <c r="A32" s="664" t="s">
        <v>180</v>
      </c>
      <c r="B32" s="667" t="s">
        <v>181</v>
      </c>
      <c r="C32" s="658" t="s">
        <v>231</v>
      </c>
      <c r="D32" s="658" t="s">
        <v>1351</v>
      </c>
      <c r="E32" s="661" t="s">
        <v>1157</v>
      </c>
      <c r="F32" s="653" t="s">
        <v>233</v>
      </c>
      <c r="G32" s="534" t="s">
        <v>234</v>
      </c>
      <c r="H32" s="555" t="s">
        <v>32</v>
      </c>
      <c r="I32" s="363" t="s">
        <v>826</v>
      </c>
      <c r="J32" s="374" t="s">
        <v>235</v>
      </c>
      <c r="K32" s="556" t="s">
        <v>559</v>
      </c>
      <c r="L32" s="556" t="s">
        <v>236</v>
      </c>
      <c r="M32" s="519" t="s">
        <v>237</v>
      </c>
      <c r="N32" s="519" t="s">
        <v>32</v>
      </c>
      <c r="O32" s="519" t="s">
        <v>1287</v>
      </c>
      <c r="P32" s="519" t="s">
        <v>1288</v>
      </c>
      <c r="Q32" s="306" t="s">
        <v>57</v>
      </c>
      <c r="R32" s="69">
        <v>0.69</v>
      </c>
      <c r="S32" s="70">
        <v>0.9</v>
      </c>
      <c r="T32" s="71">
        <v>0.9</v>
      </c>
      <c r="U32" s="71">
        <v>0.9</v>
      </c>
      <c r="V32" s="72">
        <v>0.9</v>
      </c>
      <c r="W32" s="66">
        <v>412200000</v>
      </c>
      <c r="X32" s="68">
        <v>212000000</v>
      </c>
      <c r="Y32" s="68">
        <v>80000000</v>
      </c>
      <c r="Z32" s="396">
        <v>0</v>
      </c>
      <c r="AA32" s="390" t="s">
        <v>238</v>
      </c>
      <c r="AB32" s="539" t="s">
        <v>239</v>
      </c>
      <c r="AC32" s="534" t="s">
        <v>32</v>
      </c>
      <c r="AD32" s="539" t="s">
        <v>42</v>
      </c>
      <c r="AE32" s="537" t="s">
        <v>43</v>
      </c>
      <c r="AF32" s="539" t="s">
        <v>240</v>
      </c>
      <c r="AG32" s="540" t="s">
        <v>1333</v>
      </c>
      <c r="AH32" s="555" t="s">
        <v>1359</v>
      </c>
    </row>
    <row r="33" spans="1:34" ht="114.75" customHeight="1" x14ac:dyDescent="0.2">
      <c r="A33" s="665"/>
      <c r="B33" s="668"/>
      <c r="C33" s="659"/>
      <c r="D33" s="659"/>
      <c r="E33" s="662"/>
      <c r="F33" s="653"/>
      <c r="G33" s="534" t="s">
        <v>242</v>
      </c>
      <c r="H33" s="555" t="s">
        <v>32</v>
      </c>
      <c r="I33" s="363" t="s">
        <v>1158</v>
      </c>
      <c r="J33" s="374" t="s">
        <v>243</v>
      </c>
      <c r="K33" s="556" t="s">
        <v>781</v>
      </c>
      <c r="L33" s="556" t="s">
        <v>236</v>
      </c>
      <c r="M33" s="519" t="s">
        <v>244</v>
      </c>
      <c r="N33" s="519" t="s">
        <v>32</v>
      </c>
      <c r="O33" s="519" t="s">
        <v>245</v>
      </c>
      <c r="P33" s="519" t="s">
        <v>1289</v>
      </c>
      <c r="Q33" s="306" t="s">
        <v>57</v>
      </c>
      <c r="R33" s="62" t="s">
        <v>39</v>
      </c>
      <c r="S33" s="70">
        <v>0.9</v>
      </c>
      <c r="T33" s="71">
        <v>0.9</v>
      </c>
      <c r="U33" s="71">
        <v>0.9</v>
      </c>
      <c r="V33" s="72">
        <v>0.9</v>
      </c>
      <c r="W33" s="66">
        <f>195000000+67980000+67980000</f>
        <v>330960000</v>
      </c>
      <c r="X33" s="68">
        <f>90000000+140038800</f>
        <v>230038800</v>
      </c>
      <c r="Y33" s="68">
        <f>90000000+144239964</f>
        <v>234239964</v>
      </c>
      <c r="Z33" s="396">
        <v>148567162.91999999</v>
      </c>
      <c r="AA33" s="390" t="s">
        <v>238</v>
      </c>
      <c r="AB33" s="539" t="s">
        <v>246</v>
      </c>
      <c r="AC33" s="534" t="s">
        <v>32</v>
      </c>
      <c r="AD33" s="539" t="s">
        <v>42</v>
      </c>
      <c r="AE33" s="537" t="s">
        <v>43</v>
      </c>
      <c r="AF33" s="539" t="s">
        <v>240</v>
      </c>
      <c r="AG33" s="540" t="s">
        <v>1333</v>
      </c>
      <c r="AH33" s="555" t="s">
        <v>1359</v>
      </c>
    </row>
    <row r="34" spans="1:34" ht="139.5" customHeight="1" x14ac:dyDescent="0.2">
      <c r="A34" s="665"/>
      <c r="B34" s="668"/>
      <c r="C34" s="659"/>
      <c r="D34" s="659"/>
      <c r="E34" s="662"/>
      <c r="F34" s="653"/>
      <c r="G34" s="534" t="s">
        <v>247</v>
      </c>
      <c r="H34" s="555" t="s">
        <v>32</v>
      </c>
      <c r="I34" s="363" t="s">
        <v>1159</v>
      </c>
      <c r="J34" s="374" t="s">
        <v>248</v>
      </c>
      <c r="K34" s="556" t="s">
        <v>782</v>
      </c>
      <c r="L34" s="556" t="s">
        <v>236</v>
      </c>
      <c r="M34" s="519" t="s">
        <v>249</v>
      </c>
      <c r="N34" s="519" t="s">
        <v>32</v>
      </c>
      <c r="O34" s="519" t="s">
        <v>250</v>
      </c>
      <c r="P34" s="519" t="s">
        <v>1290</v>
      </c>
      <c r="Q34" s="306" t="s">
        <v>57</v>
      </c>
      <c r="R34" s="62" t="s">
        <v>39</v>
      </c>
      <c r="S34" s="70">
        <v>0.9</v>
      </c>
      <c r="T34" s="71">
        <v>0.9</v>
      </c>
      <c r="U34" s="71">
        <v>0.9</v>
      </c>
      <c r="V34" s="72">
        <v>0.9</v>
      </c>
      <c r="W34" s="66">
        <v>0</v>
      </c>
      <c r="X34" s="68">
        <v>0</v>
      </c>
      <c r="Y34" s="68">
        <v>0</v>
      </c>
      <c r="Z34" s="396">
        <v>0</v>
      </c>
      <c r="AA34" s="390" t="s">
        <v>238</v>
      </c>
      <c r="AB34" s="539" t="s">
        <v>251</v>
      </c>
      <c r="AC34" s="534" t="s">
        <v>32</v>
      </c>
      <c r="AD34" s="539" t="s">
        <v>42</v>
      </c>
      <c r="AE34" s="537" t="s">
        <v>43</v>
      </c>
      <c r="AF34" s="539" t="s">
        <v>240</v>
      </c>
      <c r="AG34" s="540" t="s">
        <v>1333</v>
      </c>
      <c r="AH34" s="555" t="s">
        <v>1359</v>
      </c>
    </row>
    <row r="35" spans="1:34" s="297" customFormat="1" ht="246" customHeight="1" x14ac:dyDescent="0.2">
      <c r="A35" s="666"/>
      <c r="B35" s="669"/>
      <c r="C35" s="660"/>
      <c r="D35" s="660"/>
      <c r="E35" s="663"/>
      <c r="F35" s="532" t="s">
        <v>938</v>
      </c>
      <c r="G35" s="532" t="s">
        <v>979</v>
      </c>
      <c r="H35" s="543" t="s">
        <v>32</v>
      </c>
      <c r="I35" s="362" t="s">
        <v>1160</v>
      </c>
      <c r="J35" s="544" t="s">
        <v>1360</v>
      </c>
      <c r="K35" s="544" t="s">
        <v>1199</v>
      </c>
      <c r="L35" s="545" t="s">
        <v>980</v>
      </c>
      <c r="M35" s="545" t="s">
        <v>937</v>
      </c>
      <c r="N35" s="545" t="s">
        <v>33</v>
      </c>
      <c r="O35" s="544" t="s">
        <v>1200</v>
      </c>
      <c r="P35" s="545" t="s">
        <v>943</v>
      </c>
      <c r="Q35" s="549" t="s">
        <v>57</v>
      </c>
      <c r="R35" s="549" t="s">
        <v>39</v>
      </c>
      <c r="S35" s="37">
        <v>0.9</v>
      </c>
      <c r="T35" s="38">
        <v>0.9</v>
      </c>
      <c r="U35" s="38">
        <v>0.9</v>
      </c>
      <c r="V35" s="39">
        <v>0.9</v>
      </c>
      <c r="W35" s="42" t="s">
        <v>40</v>
      </c>
      <c r="X35" s="43" t="s">
        <v>40</v>
      </c>
      <c r="Y35" s="43" t="s">
        <v>40</v>
      </c>
      <c r="Z35" s="394" t="s">
        <v>40</v>
      </c>
      <c r="AA35" s="388" t="s">
        <v>1201</v>
      </c>
      <c r="AB35" s="532" t="s">
        <v>942</v>
      </c>
      <c r="AC35" s="532" t="s">
        <v>5</v>
      </c>
      <c r="AD35" s="532" t="s">
        <v>42</v>
      </c>
      <c r="AE35" s="534" t="s">
        <v>72</v>
      </c>
      <c r="AF35" s="532" t="s">
        <v>39</v>
      </c>
      <c r="AG35" s="532" t="s">
        <v>1344</v>
      </c>
      <c r="AH35" s="543" t="s">
        <v>1361</v>
      </c>
    </row>
    <row r="36" spans="1:34" ht="140.25" customHeight="1" x14ac:dyDescent="0.2">
      <c r="A36" s="652" t="s">
        <v>252</v>
      </c>
      <c r="B36" s="611" t="s">
        <v>253</v>
      </c>
      <c r="C36" s="653" t="s">
        <v>254</v>
      </c>
      <c r="D36" s="653" t="s">
        <v>1330</v>
      </c>
      <c r="E36" s="654" t="s">
        <v>803</v>
      </c>
      <c r="F36" s="657" t="s">
        <v>256</v>
      </c>
      <c r="G36" s="534" t="s">
        <v>257</v>
      </c>
      <c r="H36" s="555" t="s">
        <v>32</v>
      </c>
      <c r="I36" s="363" t="s">
        <v>827</v>
      </c>
      <c r="J36" s="375" t="s">
        <v>258</v>
      </c>
      <c r="K36" s="373" t="s">
        <v>560</v>
      </c>
      <c r="L36" s="373" t="s">
        <v>259</v>
      </c>
      <c r="M36" s="545" t="s">
        <v>1098</v>
      </c>
      <c r="N36" s="519" t="s">
        <v>5</v>
      </c>
      <c r="O36" s="526" t="s">
        <v>260</v>
      </c>
      <c r="P36" s="545" t="s">
        <v>1291</v>
      </c>
      <c r="Q36" s="306" t="s">
        <v>57</v>
      </c>
      <c r="R36" s="20" t="s">
        <v>39</v>
      </c>
      <c r="S36" s="70">
        <v>0.9</v>
      </c>
      <c r="T36" s="71">
        <v>0.9</v>
      </c>
      <c r="U36" s="71">
        <v>0.9</v>
      </c>
      <c r="V36" s="72">
        <v>0.9</v>
      </c>
      <c r="W36" s="66">
        <v>34778222</v>
      </c>
      <c r="X36" s="73">
        <v>0</v>
      </c>
      <c r="Y36" s="73">
        <v>0</v>
      </c>
      <c r="Z36" s="397">
        <v>0</v>
      </c>
      <c r="AA36" s="387" t="s">
        <v>261</v>
      </c>
      <c r="AB36" s="540" t="s">
        <v>262</v>
      </c>
      <c r="AC36" s="534" t="s">
        <v>32</v>
      </c>
      <c r="AD36" s="539" t="s">
        <v>42</v>
      </c>
      <c r="AE36" s="537" t="s">
        <v>43</v>
      </c>
      <c r="AF36" s="540" t="s">
        <v>263</v>
      </c>
      <c r="AG36" s="540" t="s">
        <v>1333</v>
      </c>
      <c r="AH36" s="26" t="s">
        <v>1334</v>
      </c>
    </row>
    <row r="37" spans="1:34" ht="141" customHeight="1" x14ac:dyDescent="0.2">
      <c r="A37" s="652"/>
      <c r="B37" s="611"/>
      <c r="C37" s="653"/>
      <c r="D37" s="653"/>
      <c r="E37" s="654"/>
      <c r="F37" s="657"/>
      <c r="G37" s="534" t="s">
        <v>265</v>
      </c>
      <c r="H37" s="555" t="s">
        <v>32</v>
      </c>
      <c r="I37" s="363" t="s">
        <v>828</v>
      </c>
      <c r="J37" s="374" t="s">
        <v>266</v>
      </c>
      <c r="K37" s="556" t="s">
        <v>561</v>
      </c>
      <c r="L37" s="373" t="s">
        <v>267</v>
      </c>
      <c r="M37" s="526" t="s">
        <v>1099</v>
      </c>
      <c r="N37" s="519" t="s">
        <v>5</v>
      </c>
      <c r="O37" s="526" t="s">
        <v>268</v>
      </c>
      <c r="P37" s="526" t="s">
        <v>1292</v>
      </c>
      <c r="Q37" s="306" t="s">
        <v>57</v>
      </c>
      <c r="R37" s="20" t="s">
        <v>39</v>
      </c>
      <c r="S37" s="70">
        <v>0.91</v>
      </c>
      <c r="T37" s="71">
        <v>0.91</v>
      </c>
      <c r="U37" s="71">
        <v>0.91</v>
      </c>
      <c r="V37" s="72">
        <v>0.91</v>
      </c>
      <c r="W37" s="24">
        <v>35000000</v>
      </c>
      <c r="X37" s="25">
        <f t="shared" ref="X37:Z37" si="1">+W37*(1+3%)</f>
        <v>36050000</v>
      </c>
      <c r="Y37" s="25">
        <f t="shared" si="1"/>
        <v>37131500</v>
      </c>
      <c r="Z37" s="391">
        <f t="shared" si="1"/>
        <v>38245445</v>
      </c>
      <c r="AA37" s="387" t="s">
        <v>261</v>
      </c>
      <c r="AB37" s="540" t="s">
        <v>269</v>
      </c>
      <c r="AC37" s="534" t="s">
        <v>32</v>
      </c>
      <c r="AD37" s="539" t="s">
        <v>42</v>
      </c>
      <c r="AE37" s="537" t="s">
        <v>43</v>
      </c>
      <c r="AF37" s="539" t="s">
        <v>39</v>
      </c>
      <c r="AG37" s="540" t="s">
        <v>1333</v>
      </c>
      <c r="AH37" s="26" t="s">
        <v>1334</v>
      </c>
    </row>
    <row r="38" spans="1:34" s="297" customFormat="1" ht="149.25" customHeight="1" x14ac:dyDescent="0.2">
      <c r="A38" s="652"/>
      <c r="B38" s="611"/>
      <c r="C38" s="653"/>
      <c r="D38" s="653"/>
      <c r="E38" s="654"/>
      <c r="F38" s="657"/>
      <c r="G38" s="534" t="s">
        <v>270</v>
      </c>
      <c r="H38" s="555" t="s">
        <v>32</v>
      </c>
      <c r="I38" s="363" t="s">
        <v>829</v>
      </c>
      <c r="J38" s="371" t="s">
        <v>271</v>
      </c>
      <c r="K38" s="372" t="s">
        <v>562</v>
      </c>
      <c r="L38" s="372" t="s">
        <v>272</v>
      </c>
      <c r="M38" s="545" t="s">
        <v>1100</v>
      </c>
      <c r="N38" s="519" t="s">
        <v>5</v>
      </c>
      <c r="O38" s="545" t="s">
        <v>273</v>
      </c>
      <c r="P38" s="545" t="s">
        <v>1293</v>
      </c>
      <c r="Q38" s="306" t="s">
        <v>57</v>
      </c>
      <c r="R38" s="62" t="s">
        <v>39</v>
      </c>
      <c r="S38" s="63">
        <v>0.8</v>
      </c>
      <c r="T38" s="64">
        <v>0.8</v>
      </c>
      <c r="U38" s="64">
        <v>0.8</v>
      </c>
      <c r="V38" s="65">
        <v>0.8</v>
      </c>
      <c r="W38" s="24">
        <f>47800776+60306000</f>
        <v>108106776</v>
      </c>
      <c r="X38" s="73">
        <v>0</v>
      </c>
      <c r="Y38" s="73">
        <v>0</v>
      </c>
      <c r="Z38" s="397">
        <v>0</v>
      </c>
      <c r="AA38" s="389" t="s">
        <v>274</v>
      </c>
      <c r="AB38" s="541" t="s">
        <v>275</v>
      </c>
      <c r="AC38" s="534" t="s">
        <v>32</v>
      </c>
      <c r="AD38" s="539" t="s">
        <v>42</v>
      </c>
      <c r="AE38" s="537" t="s">
        <v>43</v>
      </c>
      <c r="AF38" s="541" t="s">
        <v>276</v>
      </c>
      <c r="AG38" s="540" t="s">
        <v>1333</v>
      </c>
      <c r="AH38" s="26" t="s">
        <v>1334</v>
      </c>
    </row>
    <row r="39" spans="1:34" s="297" customFormat="1" ht="128.25" customHeight="1" x14ac:dyDescent="0.2">
      <c r="A39" s="652"/>
      <c r="B39" s="611"/>
      <c r="C39" s="653"/>
      <c r="D39" s="653"/>
      <c r="E39" s="654"/>
      <c r="F39" s="657"/>
      <c r="G39" s="534" t="s">
        <v>277</v>
      </c>
      <c r="H39" s="555" t="s">
        <v>32</v>
      </c>
      <c r="I39" s="363" t="s">
        <v>830</v>
      </c>
      <c r="J39" s="371" t="s">
        <v>278</v>
      </c>
      <c r="K39" s="372" t="s">
        <v>279</v>
      </c>
      <c r="L39" s="372" t="s">
        <v>280</v>
      </c>
      <c r="M39" s="545" t="s">
        <v>1101</v>
      </c>
      <c r="N39" s="519" t="s">
        <v>5</v>
      </c>
      <c r="O39" s="545" t="s">
        <v>281</v>
      </c>
      <c r="P39" s="545" t="s">
        <v>1294</v>
      </c>
      <c r="Q39" s="306" t="s">
        <v>57</v>
      </c>
      <c r="R39" s="62" t="s">
        <v>39</v>
      </c>
      <c r="S39" s="63">
        <v>0.8</v>
      </c>
      <c r="T39" s="64">
        <v>0.8</v>
      </c>
      <c r="U39" s="64">
        <v>0.8</v>
      </c>
      <c r="V39" s="65">
        <v>0.8</v>
      </c>
      <c r="W39" s="24">
        <v>0</v>
      </c>
      <c r="X39" s="25">
        <v>0</v>
      </c>
      <c r="Y39" s="25">
        <v>0</v>
      </c>
      <c r="Z39" s="391">
        <v>0</v>
      </c>
      <c r="AA39" s="389" t="s">
        <v>274</v>
      </c>
      <c r="AB39" s="541" t="s">
        <v>282</v>
      </c>
      <c r="AC39" s="534" t="s">
        <v>32</v>
      </c>
      <c r="AD39" s="539" t="s">
        <v>42</v>
      </c>
      <c r="AE39" s="537" t="s">
        <v>43</v>
      </c>
      <c r="AF39" s="541" t="s">
        <v>39</v>
      </c>
      <c r="AG39" s="540" t="s">
        <v>1333</v>
      </c>
      <c r="AH39" s="26" t="s">
        <v>1334</v>
      </c>
    </row>
    <row r="40" spans="1:34" s="298" customFormat="1" ht="178.5" customHeight="1" x14ac:dyDescent="0.25">
      <c r="A40" s="57" t="s">
        <v>283</v>
      </c>
      <c r="B40" s="534" t="s">
        <v>284</v>
      </c>
      <c r="C40" s="541" t="s">
        <v>285</v>
      </c>
      <c r="D40" s="541" t="s">
        <v>1330</v>
      </c>
      <c r="E40" s="534" t="s">
        <v>804</v>
      </c>
      <c r="F40" s="534" t="s">
        <v>287</v>
      </c>
      <c r="G40" s="534" t="s">
        <v>288</v>
      </c>
      <c r="H40" s="555" t="s">
        <v>32</v>
      </c>
      <c r="I40" s="363" t="s">
        <v>831</v>
      </c>
      <c r="J40" s="518" t="s">
        <v>289</v>
      </c>
      <c r="K40" s="519" t="s">
        <v>290</v>
      </c>
      <c r="L40" s="519" t="s">
        <v>291</v>
      </c>
      <c r="M40" s="519" t="s">
        <v>1102</v>
      </c>
      <c r="N40" s="519" t="s">
        <v>5</v>
      </c>
      <c r="O40" s="377" t="s">
        <v>292</v>
      </c>
      <c r="P40" s="519" t="s">
        <v>293</v>
      </c>
      <c r="Q40" s="306" t="s">
        <v>57</v>
      </c>
      <c r="R40" s="550" t="s">
        <v>39</v>
      </c>
      <c r="S40" s="29">
        <v>1</v>
      </c>
      <c r="T40" s="30">
        <v>1</v>
      </c>
      <c r="U40" s="30">
        <v>1</v>
      </c>
      <c r="V40" s="31">
        <v>1</v>
      </c>
      <c r="W40" s="548">
        <v>22660000</v>
      </c>
      <c r="X40" s="554">
        <v>23339800</v>
      </c>
      <c r="Y40" s="554">
        <v>24039994</v>
      </c>
      <c r="Z40" s="552">
        <v>24761193.82</v>
      </c>
      <c r="AA40" s="562" t="s">
        <v>294</v>
      </c>
      <c r="AB40" s="534" t="s">
        <v>41</v>
      </c>
      <c r="AC40" s="534" t="s">
        <v>32</v>
      </c>
      <c r="AD40" s="539" t="s">
        <v>42</v>
      </c>
      <c r="AE40" s="537" t="s">
        <v>43</v>
      </c>
      <c r="AF40" s="534" t="s">
        <v>39</v>
      </c>
      <c r="AG40" s="540" t="s">
        <v>1333</v>
      </c>
      <c r="AH40" s="536" t="s">
        <v>1362</v>
      </c>
    </row>
    <row r="41" spans="1:34" s="299" customFormat="1" ht="44.25" customHeight="1" x14ac:dyDescent="0.25">
      <c r="A41" s="655" t="s">
        <v>296</v>
      </c>
      <c r="B41" s="656" t="s">
        <v>297</v>
      </c>
      <c r="C41" s="656" t="s">
        <v>298</v>
      </c>
      <c r="D41" s="611" t="s">
        <v>1330</v>
      </c>
      <c r="E41" s="611" t="s">
        <v>805</v>
      </c>
      <c r="F41" s="611" t="s">
        <v>547</v>
      </c>
      <c r="G41" s="611" t="s">
        <v>300</v>
      </c>
      <c r="H41" s="698" t="s">
        <v>32</v>
      </c>
      <c r="I41" s="363" t="s">
        <v>832</v>
      </c>
      <c r="J41" s="689" t="s">
        <v>301</v>
      </c>
      <c r="K41" s="692" t="s">
        <v>1363</v>
      </c>
      <c r="L41" s="519" t="s">
        <v>948</v>
      </c>
      <c r="M41" s="519" t="s">
        <v>949</v>
      </c>
      <c r="N41" s="519" t="s">
        <v>5</v>
      </c>
      <c r="O41" s="519" t="s">
        <v>955</v>
      </c>
      <c r="P41" s="519" t="s">
        <v>961</v>
      </c>
      <c r="Q41" s="549" t="s">
        <v>57</v>
      </c>
      <c r="R41" s="693" t="s">
        <v>39</v>
      </c>
      <c r="S41" s="77" t="s">
        <v>686</v>
      </c>
      <c r="T41" s="549" t="s">
        <v>686</v>
      </c>
      <c r="U41" s="549" t="s">
        <v>686</v>
      </c>
      <c r="V41" s="78" t="s">
        <v>686</v>
      </c>
      <c r="W41" s="683">
        <v>390698364</v>
      </c>
      <c r="X41" s="697">
        <f>+(W41*3%)+W41</f>
        <v>402419314.92000002</v>
      </c>
      <c r="Y41" s="697">
        <f>+(X41*3%)+X41</f>
        <v>414491894.36760002</v>
      </c>
      <c r="Z41" s="695">
        <f>+(Y41*3%)+Y41</f>
        <v>426926651.19862801</v>
      </c>
      <c r="AA41" s="562" t="s">
        <v>688</v>
      </c>
      <c r="AB41" s="534" t="s">
        <v>41</v>
      </c>
      <c r="AC41" s="534" t="s">
        <v>5</v>
      </c>
      <c r="AD41" s="534" t="s">
        <v>302</v>
      </c>
      <c r="AE41" s="537" t="s">
        <v>43</v>
      </c>
      <c r="AF41" s="656" t="s">
        <v>303</v>
      </c>
      <c r="AG41" s="519" t="s">
        <v>1364</v>
      </c>
      <c r="AH41" s="536" t="s">
        <v>1365</v>
      </c>
    </row>
    <row r="42" spans="1:34" s="299" customFormat="1" ht="60.75" customHeight="1" x14ac:dyDescent="0.25">
      <c r="A42" s="655"/>
      <c r="B42" s="656"/>
      <c r="C42" s="656"/>
      <c r="D42" s="611"/>
      <c r="E42" s="611"/>
      <c r="F42" s="611"/>
      <c r="G42" s="611"/>
      <c r="H42" s="698"/>
      <c r="I42" s="363" t="s">
        <v>833</v>
      </c>
      <c r="J42" s="690"/>
      <c r="K42" s="692"/>
      <c r="L42" s="519" t="s">
        <v>950</v>
      </c>
      <c r="M42" s="534" t="s">
        <v>1103</v>
      </c>
      <c r="N42" s="519" t="s">
        <v>5</v>
      </c>
      <c r="O42" s="519" t="s">
        <v>956</v>
      </c>
      <c r="P42" s="519" t="s">
        <v>962</v>
      </c>
      <c r="Q42" s="549" t="s">
        <v>57</v>
      </c>
      <c r="R42" s="693"/>
      <c r="S42" s="77" t="s">
        <v>1329</v>
      </c>
      <c r="T42" s="549" t="s">
        <v>1329</v>
      </c>
      <c r="U42" s="549" t="s">
        <v>1329</v>
      </c>
      <c r="V42" s="78" t="s">
        <v>1329</v>
      </c>
      <c r="W42" s="683"/>
      <c r="X42" s="697"/>
      <c r="Y42" s="697"/>
      <c r="Z42" s="695"/>
      <c r="AA42" s="562" t="s">
        <v>691</v>
      </c>
      <c r="AB42" s="534" t="s">
        <v>41</v>
      </c>
      <c r="AC42" s="534" t="s">
        <v>5</v>
      </c>
      <c r="AD42" s="534" t="s">
        <v>42</v>
      </c>
      <c r="AE42" s="534" t="s">
        <v>72</v>
      </c>
      <c r="AF42" s="656"/>
      <c r="AG42" s="519" t="s">
        <v>1364</v>
      </c>
      <c r="AH42" s="536" t="s">
        <v>1364</v>
      </c>
    </row>
    <row r="43" spans="1:34" s="299" customFormat="1" ht="58.5" customHeight="1" x14ac:dyDescent="0.25">
      <c r="A43" s="655"/>
      <c r="B43" s="656"/>
      <c r="C43" s="656"/>
      <c r="D43" s="611"/>
      <c r="E43" s="611"/>
      <c r="F43" s="611"/>
      <c r="G43" s="611"/>
      <c r="H43" s="698"/>
      <c r="I43" s="363" t="s">
        <v>834</v>
      </c>
      <c r="J43" s="690"/>
      <c r="K43" s="692"/>
      <c r="L43" s="519" t="s">
        <v>951</v>
      </c>
      <c r="M43" s="519" t="s">
        <v>1104</v>
      </c>
      <c r="N43" s="519" t="s">
        <v>5</v>
      </c>
      <c r="O43" s="519" t="s">
        <v>957</v>
      </c>
      <c r="P43" s="519" t="s">
        <v>1295</v>
      </c>
      <c r="Q43" s="306" t="s">
        <v>38</v>
      </c>
      <c r="R43" s="693"/>
      <c r="S43" s="77" t="s">
        <v>686</v>
      </c>
      <c r="T43" s="549" t="s">
        <v>686</v>
      </c>
      <c r="U43" s="549" t="s">
        <v>686</v>
      </c>
      <c r="V43" s="78" t="s">
        <v>686</v>
      </c>
      <c r="W43" s="683"/>
      <c r="X43" s="697"/>
      <c r="Y43" s="697"/>
      <c r="Z43" s="695"/>
      <c r="AA43" s="562" t="s">
        <v>306</v>
      </c>
      <c r="AB43" s="534" t="s">
        <v>41</v>
      </c>
      <c r="AC43" s="534" t="s">
        <v>5</v>
      </c>
      <c r="AD43" s="534" t="s">
        <v>302</v>
      </c>
      <c r="AE43" s="534" t="s">
        <v>72</v>
      </c>
      <c r="AF43" s="656"/>
      <c r="AG43" s="519" t="s">
        <v>1364</v>
      </c>
      <c r="AH43" s="536" t="s">
        <v>1366</v>
      </c>
    </row>
    <row r="44" spans="1:34" s="299" customFormat="1" ht="49.5" customHeight="1" x14ac:dyDescent="0.25">
      <c r="A44" s="655"/>
      <c r="B44" s="656"/>
      <c r="C44" s="656"/>
      <c r="D44" s="611"/>
      <c r="E44" s="611"/>
      <c r="F44" s="611"/>
      <c r="G44" s="611"/>
      <c r="H44" s="698"/>
      <c r="I44" s="363" t="s">
        <v>835</v>
      </c>
      <c r="J44" s="690"/>
      <c r="K44" s="692"/>
      <c r="L44" s="519" t="s">
        <v>952</v>
      </c>
      <c r="M44" s="519" t="s">
        <v>1105</v>
      </c>
      <c r="N44" s="519" t="s">
        <v>32</v>
      </c>
      <c r="O44" s="519" t="s">
        <v>958</v>
      </c>
      <c r="P44" s="519" t="s">
        <v>1296</v>
      </c>
      <c r="Q44" s="306" t="s">
        <v>38</v>
      </c>
      <c r="R44" s="693"/>
      <c r="S44" s="77" t="s">
        <v>687</v>
      </c>
      <c r="T44" s="549" t="s">
        <v>687</v>
      </c>
      <c r="U44" s="549" t="s">
        <v>687</v>
      </c>
      <c r="V44" s="78" t="s">
        <v>687</v>
      </c>
      <c r="W44" s="683"/>
      <c r="X44" s="697"/>
      <c r="Y44" s="697"/>
      <c r="Z44" s="695"/>
      <c r="AA44" s="562" t="s">
        <v>689</v>
      </c>
      <c r="AB44" s="534" t="s">
        <v>41</v>
      </c>
      <c r="AC44" s="534" t="s">
        <v>32</v>
      </c>
      <c r="AD44" s="534" t="s">
        <v>302</v>
      </c>
      <c r="AE44" s="534" t="s">
        <v>72</v>
      </c>
      <c r="AF44" s="656"/>
      <c r="AG44" s="519" t="s">
        <v>1364</v>
      </c>
      <c r="AH44" s="536" t="s">
        <v>1367</v>
      </c>
    </row>
    <row r="45" spans="1:34" s="299" customFormat="1" ht="52.5" customHeight="1" x14ac:dyDescent="0.25">
      <c r="A45" s="655"/>
      <c r="B45" s="656"/>
      <c r="C45" s="656"/>
      <c r="D45" s="611"/>
      <c r="E45" s="611"/>
      <c r="F45" s="611"/>
      <c r="G45" s="611"/>
      <c r="H45" s="698"/>
      <c r="I45" s="363" t="s">
        <v>836</v>
      </c>
      <c r="J45" s="690"/>
      <c r="K45" s="692"/>
      <c r="L45" s="519" t="s">
        <v>953</v>
      </c>
      <c r="M45" s="545" t="s">
        <v>1368</v>
      </c>
      <c r="N45" s="519" t="s">
        <v>5</v>
      </c>
      <c r="O45" s="519" t="s">
        <v>959</v>
      </c>
      <c r="P45" s="545" t="s">
        <v>1328</v>
      </c>
      <c r="Q45" s="306" t="s">
        <v>57</v>
      </c>
      <c r="R45" s="693"/>
      <c r="S45" s="37">
        <v>0.7</v>
      </c>
      <c r="T45" s="38">
        <v>0.7</v>
      </c>
      <c r="U45" s="38">
        <v>0.7</v>
      </c>
      <c r="V45" s="39">
        <v>0.7</v>
      </c>
      <c r="W45" s="683"/>
      <c r="X45" s="697"/>
      <c r="Y45" s="697"/>
      <c r="Z45" s="695"/>
      <c r="AA45" s="388" t="s">
        <v>1369</v>
      </c>
      <c r="AB45" s="534" t="s">
        <v>41</v>
      </c>
      <c r="AC45" s="534" t="s">
        <v>32</v>
      </c>
      <c r="AD45" s="534" t="s">
        <v>42</v>
      </c>
      <c r="AE45" s="546" t="s">
        <v>43</v>
      </c>
      <c r="AF45" s="656"/>
      <c r="AG45" s="519" t="s">
        <v>1364</v>
      </c>
      <c r="AH45" s="536" t="s">
        <v>1370</v>
      </c>
    </row>
    <row r="46" spans="1:34" s="299" customFormat="1" ht="102.75" customHeight="1" x14ac:dyDescent="0.25">
      <c r="A46" s="655"/>
      <c r="B46" s="656"/>
      <c r="C46" s="656"/>
      <c r="D46" s="611"/>
      <c r="E46" s="611"/>
      <c r="F46" s="611"/>
      <c r="G46" s="611"/>
      <c r="H46" s="698"/>
      <c r="I46" s="363" t="s">
        <v>837</v>
      </c>
      <c r="J46" s="691"/>
      <c r="K46" s="692"/>
      <c r="L46" s="519" t="s">
        <v>954</v>
      </c>
      <c r="M46" s="519" t="s">
        <v>1106</v>
      </c>
      <c r="N46" s="519" t="s">
        <v>5</v>
      </c>
      <c r="O46" s="377" t="s">
        <v>960</v>
      </c>
      <c r="P46" s="519" t="s">
        <v>850</v>
      </c>
      <c r="Q46" s="306" t="s">
        <v>38</v>
      </c>
      <c r="R46" s="693"/>
      <c r="S46" s="77">
        <v>4</v>
      </c>
      <c r="T46" s="549">
        <v>8</v>
      </c>
      <c r="U46" s="549">
        <v>8</v>
      </c>
      <c r="V46" s="78">
        <v>8</v>
      </c>
      <c r="W46" s="683"/>
      <c r="X46" s="697"/>
      <c r="Y46" s="697"/>
      <c r="Z46" s="695"/>
      <c r="AA46" s="562" t="s">
        <v>690</v>
      </c>
      <c r="AB46" s="534" t="s">
        <v>41</v>
      </c>
      <c r="AC46" s="534" t="s">
        <v>32</v>
      </c>
      <c r="AD46" s="534" t="s">
        <v>302</v>
      </c>
      <c r="AE46" s="537" t="s">
        <v>43</v>
      </c>
      <c r="AF46" s="656"/>
      <c r="AG46" s="519" t="s">
        <v>1364</v>
      </c>
      <c r="AH46" s="536" t="s">
        <v>1364</v>
      </c>
    </row>
    <row r="47" spans="1:34" s="496" customFormat="1" ht="165" customHeight="1" x14ac:dyDescent="0.2">
      <c r="A47" s="610" t="s">
        <v>105</v>
      </c>
      <c r="B47" s="611" t="s">
        <v>106</v>
      </c>
      <c r="C47" s="611" t="s">
        <v>307</v>
      </c>
      <c r="D47" s="609" t="s">
        <v>1330</v>
      </c>
      <c r="E47" s="609" t="s">
        <v>806</v>
      </c>
      <c r="F47" s="609" t="s">
        <v>683</v>
      </c>
      <c r="G47" s="609" t="s">
        <v>684</v>
      </c>
      <c r="H47" s="672" t="s">
        <v>5</v>
      </c>
      <c r="I47" s="362" t="s">
        <v>838</v>
      </c>
      <c r="J47" s="544" t="s">
        <v>932</v>
      </c>
      <c r="K47" s="545" t="s">
        <v>685</v>
      </c>
      <c r="L47" s="545" t="s">
        <v>933</v>
      </c>
      <c r="M47" s="545" t="s">
        <v>1138</v>
      </c>
      <c r="N47" s="545" t="s">
        <v>5</v>
      </c>
      <c r="O47" s="545" t="s">
        <v>934</v>
      </c>
      <c r="P47" s="545" t="s">
        <v>1297</v>
      </c>
      <c r="Q47" s="549" t="s">
        <v>57</v>
      </c>
      <c r="R47" s="76" t="s">
        <v>39</v>
      </c>
      <c r="S47" s="37">
        <v>1</v>
      </c>
      <c r="T47" s="549" t="s">
        <v>40</v>
      </c>
      <c r="U47" s="549" t="s">
        <v>40</v>
      </c>
      <c r="V47" s="78" t="s">
        <v>40</v>
      </c>
      <c r="W47" s="40">
        <v>0</v>
      </c>
      <c r="X47" s="41">
        <v>0</v>
      </c>
      <c r="Y47" s="41">
        <v>0</v>
      </c>
      <c r="Z47" s="393">
        <v>0</v>
      </c>
      <c r="AA47" s="388" t="s">
        <v>1139</v>
      </c>
      <c r="AB47" s="532" t="s">
        <v>41</v>
      </c>
      <c r="AC47" s="532" t="s">
        <v>32</v>
      </c>
      <c r="AD47" s="541" t="s">
        <v>42</v>
      </c>
      <c r="AE47" s="537" t="s">
        <v>43</v>
      </c>
      <c r="AF47" s="532" t="s">
        <v>1140</v>
      </c>
      <c r="AG47" s="532" t="s">
        <v>1371</v>
      </c>
      <c r="AH47" s="543" t="s">
        <v>1372</v>
      </c>
    </row>
    <row r="48" spans="1:34" s="300" customFormat="1" ht="153.75" customHeight="1" x14ac:dyDescent="0.2">
      <c r="A48" s="610"/>
      <c r="B48" s="611"/>
      <c r="C48" s="611"/>
      <c r="D48" s="609"/>
      <c r="E48" s="609"/>
      <c r="F48" s="609"/>
      <c r="G48" s="609"/>
      <c r="H48" s="672"/>
      <c r="I48" s="362" t="s">
        <v>839</v>
      </c>
      <c r="J48" s="544" t="s">
        <v>927</v>
      </c>
      <c r="K48" s="545" t="s">
        <v>928</v>
      </c>
      <c r="L48" s="545" t="s">
        <v>929</v>
      </c>
      <c r="M48" s="545" t="s">
        <v>1108</v>
      </c>
      <c r="N48" s="545" t="s">
        <v>5</v>
      </c>
      <c r="O48" s="545" t="s">
        <v>1202</v>
      </c>
      <c r="P48" s="545" t="s">
        <v>1298</v>
      </c>
      <c r="Q48" s="549" t="s">
        <v>57</v>
      </c>
      <c r="R48" s="76" t="s">
        <v>39</v>
      </c>
      <c r="S48" s="37">
        <v>1</v>
      </c>
      <c r="T48" s="549" t="s">
        <v>40</v>
      </c>
      <c r="U48" s="549" t="s">
        <v>40</v>
      </c>
      <c r="V48" s="78" t="s">
        <v>40</v>
      </c>
      <c r="W48" s="40">
        <v>0</v>
      </c>
      <c r="X48" s="41">
        <v>0</v>
      </c>
      <c r="Y48" s="41">
        <v>0</v>
      </c>
      <c r="Z48" s="393">
        <v>0</v>
      </c>
      <c r="AA48" s="388" t="s">
        <v>930</v>
      </c>
      <c r="AB48" s="534" t="s">
        <v>41</v>
      </c>
      <c r="AC48" s="534" t="s">
        <v>32</v>
      </c>
      <c r="AD48" s="539" t="s">
        <v>42</v>
      </c>
      <c r="AE48" s="537" t="s">
        <v>43</v>
      </c>
      <c r="AF48" s="532" t="s">
        <v>931</v>
      </c>
      <c r="AG48" s="519" t="s">
        <v>1364</v>
      </c>
      <c r="AH48" s="555" t="s">
        <v>1359</v>
      </c>
    </row>
    <row r="49" spans="1:34" s="300" customFormat="1" ht="170.25" customHeight="1" x14ac:dyDescent="0.2">
      <c r="A49" s="533" t="s">
        <v>105</v>
      </c>
      <c r="B49" s="534" t="s">
        <v>297</v>
      </c>
      <c r="C49" s="534" t="s">
        <v>312</v>
      </c>
      <c r="D49" s="534" t="s">
        <v>1330</v>
      </c>
      <c r="E49" s="534" t="s">
        <v>807</v>
      </c>
      <c r="F49" s="534" t="s">
        <v>1141</v>
      </c>
      <c r="G49" s="534" t="s">
        <v>1142</v>
      </c>
      <c r="H49" s="536" t="s">
        <v>32</v>
      </c>
      <c r="I49" s="366" t="s">
        <v>840</v>
      </c>
      <c r="J49" s="518" t="s">
        <v>314</v>
      </c>
      <c r="K49" s="519" t="s">
        <v>315</v>
      </c>
      <c r="L49" s="519" t="s">
        <v>316</v>
      </c>
      <c r="M49" s="519" t="s">
        <v>1110</v>
      </c>
      <c r="N49" s="519" t="s">
        <v>5</v>
      </c>
      <c r="O49" s="519" t="s">
        <v>1111</v>
      </c>
      <c r="P49" s="519" t="s">
        <v>1299</v>
      </c>
      <c r="Q49" s="549" t="s">
        <v>57</v>
      </c>
      <c r="R49" s="76" t="s">
        <v>39</v>
      </c>
      <c r="S49" s="37">
        <v>1</v>
      </c>
      <c r="T49" s="30">
        <v>1</v>
      </c>
      <c r="U49" s="30">
        <v>1</v>
      </c>
      <c r="V49" s="31">
        <v>1</v>
      </c>
      <c r="W49" s="548">
        <v>175882800</v>
      </c>
      <c r="X49" s="554">
        <f>+(W49*3%)+W49</f>
        <v>181159284</v>
      </c>
      <c r="Y49" s="554">
        <f t="shared" ref="Y49:Z49" si="2">+(X49*3%)+X49</f>
        <v>186594062.52000001</v>
      </c>
      <c r="Z49" s="552">
        <f t="shared" si="2"/>
        <v>192191884.39560002</v>
      </c>
      <c r="AA49" s="562" t="s">
        <v>317</v>
      </c>
      <c r="AB49" s="534" t="s">
        <v>318</v>
      </c>
      <c r="AC49" s="534" t="s">
        <v>32</v>
      </c>
      <c r="AD49" s="539" t="s">
        <v>42</v>
      </c>
      <c r="AE49" s="537" t="s">
        <v>43</v>
      </c>
      <c r="AF49" s="534" t="s">
        <v>319</v>
      </c>
      <c r="AG49" s="532" t="s">
        <v>1371</v>
      </c>
      <c r="AH49" s="543" t="s">
        <v>1372</v>
      </c>
    </row>
    <row r="50" spans="1:34" s="300" customFormat="1" ht="153.75" customHeight="1" x14ac:dyDescent="0.2">
      <c r="A50" s="533" t="s">
        <v>105</v>
      </c>
      <c r="B50" s="534" t="s">
        <v>297</v>
      </c>
      <c r="C50" s="534" t="s">
        <v>312</v>
      </c>
      <c r="D50" s="534" t="s">
        <v>1330</v>
      </c>
      <c r="E50" s="534" t="s">
        <v>808</v>
      </c>
      <c r="F50" s="534" t="s">
        <v>677</v>
      </c>
      <c r="G50" s="534" t="s">
        <v>679</v>
      </c>
      <c r="H50" s="536" t="s">
        <v>32</v>
      </c>
      <c r="I50" s="366" t="s">
        <v>841</v>
      </c>
      <c r="J50" s="518" t="s">
        <v>673</v>
      </c>
      <c r="K50" s="519" t="s">
        <v>672</v>
      </c>
      <c r="L50" s="519" t="s">
        <v>674</v>
      </c>
      <c r="M50" s="519" t="s">
        <v>1113</v>
      </c>
      <c r="N50" s="519" t="s">
        <v>5</v>
      </c>
      <c r="O50" s="519" t="s">
        <v>675</v>
      </c>
      <c r="P50" s="519" t="s">
        <v>1115</v>
      </c>
      <c r="Q50" s="306" t="s">
        <v>57</v>
      </c>
      <c r="R50" s="550" t="s">
        <v>39</v>
      </c>
      <c r="S50" s="29">
        <v>1</v>
      </c>
      <c r="T50" s="30">
        <v>1</v>
      </c>
      <c r="U50" s="30">
        <v>1</v>
      </c>
      <c r="V50" s="31">
        <v>1</v>
      </c>
      <c r="W50" s="683">
        <f>147084000+19151367</f>
        <v>166235367</v>
      </c>
      <c r="X50" s="697">
        <f>+(W50*3%)+W50</f>
        <v>171222428.00999999</v>
      </c>
      <c r="Y50" s="697">
        <f>+(X50*3%)+X50</f>
        <v>176359100.85029998</v>
      </c>
      <c r="Z50" s="695">
        <f>+(Y50*3%)+Y50</f>
        <v>181649873.87580898</v>
      </c>
      <c r="AA50" s="562" t="s">
        <v>678</v>
      </c>
      <c r="AB50" s="534" t="s">
        <v>680</v>
      </c>
      <c r="AC50" s="534" t="s">
        <v>32</v>
      </c>
      <c r="AD50" s="539" t="s">
        <v>42</v>
      </c>
      <c r="AE50" s="537" t="s">
        <v>43</v>
      </c>
      <c r="AF50" s="534" t="s">
        <v>676</v>
      </c>
      <c r="AG50" s="532" t="s">
        <v>1371</v>
      </c>
      <c r="AH50" s="543" t="s">
        <v>1373</v>
      </c>
    </row>
    <row r="51" spans="1:34" s="300" customFormat="1" ht="114.75" customHeight="1" x14ac:dyDescent="0.2">
      <c r="A51" s="533" t="s">
        <v>105</v>
      </c>
      <c r="B51" s="534" t="s">
        <v>297</v>
      </c>
      <c r="C51" s="534" t="s">
        <v>323</v>
      </c>
      <c r="D51" s="534" t="s">
        <v>1330</v>
      </c>
      <c r="E51" s="534" t="s">
        <v>809</v>
      </c>
      <c r="F51" s="534" t="s">
        <v>1143</v>
      </c>
      <c r="G51" s="534" t="s">
        <v>1144</v>
      </c>
      <c r="H51" s="536" t="s">
        <v>5</v>
      </c>
      <c r="I51" s="366" t="s">
        <v>842</v>
      </c>
      <c r="J51" s="518" t="s">
        <v>1145</v>
      </c>
      <c r="K51" s="519" t="s">
        <v>1146</v>
      </c>
      <c r="L51" s="519" t="s">
        <v>1144</v>
      </c>
      <c r="M51" s="519" t="s">
        <v>1147</v>
      </c>
      <c r="N51" s="519" t="s">
        <v>5</v>
      </c>
      <c r="O51" s="519" t="s">
        <v>1148</v>
      </c>
      <c r="P51" s="519" t="s">
        <v>1203</v>
      </c>
      <c r="Q51" s="306" t="s">
        <v>38</v>
      </c>
      <c r="R51" s="550" t="s">
        <v>39</v>
      </c>
      <c r="S51" s="12">
        <v>2</v>
      </c>
      <c r="T51" s="306">
        <v>2</v>
      </c>
      <c r="U51" s="306">
        <v>2</v>
      </c>
      <c r="V51" s="13">
        <v>2</v>
      </c>
      <c r="W51" s="683"/>
      <c r="X51" s="697"/>
      <c r="Y51" s="697"/>
      <c r="Z51" s="695"/>
      <c r="AA51" s="388" t="s">
        <v>1149</v>
      </c>
      <c r="AB51" s="532" t="s">
        <v>1150</v>
      </c>
      <c r="AC51" s="534" t="s">
        <v>32</v>
      </c>
      <c r="AD51" s="539" t="s">
        <v>42</v>
      </c>
      <c r="AE51" s="534" t="s">
        <v>1161</v>
      </c>
      <c r="AF51" s="532" t="s">
        <v>1151</v>
      </c>
      <c r="AG51" s="532" t="s">
        <v>1371</v>
      </c>
      <c r="AH51" s="543" t="s">
        <v>1373</v>
      </c>
    </row>
    <row r="52" spans="1:34" s="300" customFormat="1" ht="134.25" customHeight="1" x14ac:dyDescent="0.2">
      <c r="A52" s="610" t="s">
        <v>61</v>
      </c>
      <c r="B52" s="611" t="s">
        <v>708</v>
      </c>
      <c r="C52" s="611" t="s">
        <v>707</v>
      </c>
      <c r="D52" s="611" t="s">
        <v>1330</v>
      </c>
      <c r="E52" s="611" t="s">
        <v>810</v>
      </c>
      <c r="F52" s="534" t="s">
        <v>692</v>
      </c>
      <c r="G52" s="534" t="s">
        <v>705</v>
      </c>
      <c r="H52" s="536" t="s">
        <v>32</v>
      </c>
      <c r="I52" s="366" t="s">
        <v>843</v>
      </c>
      <c r="J52" s="518" t="s">
        <v>694</v>
      </c>
      <c r="K52" s="519" t="s">
        <v>704</v>
      </c>
      <c r="L52" s="519" t="s">
        <v>695</v>
      </c>
      <c r="M52" s="519" t="s">
        <v>696</v>
      </c>
      <c r="N52" s="519" t="s">
        <v>5</v>
      </c>
      <c r="O52" s="519" t="s">
        <v>697</v>
      </c>
      <c r="P52" s="519" t="s">
        <v>1300</v>
      </c>
      <c r="Q52" s="527" t="s">
        <v>57</v>
      </c>
      <c r="R52" s="550" t="s">
        <v>39</v>
      </c>
      <c r="S52" s="29">
        <v>0.8</v>
      </c>
      <c r="T52" s="30">
        <v>0.85</v>
      </c>
      <c r="U52" s="30">
        <v>0.9</v>
      </c>
      <c r="V52" s="31">
        <v>0.95</v>
      </c>
      <c r="W52" s="14" t="s">
        <v>40</v>
      </c>
      <c r="X52" s="15" t="s">
        <v>40</v>
      </c>
      <c r="Y52" s="15" t="s">
        <v>40</v>
      </c>
      <c r="Z52" s="392" t="s">
        <v>40</v>
      </c>
      <c r="AA52" s="388" t="s">
        <v>698</v>
      </c>
      <c r="AB52" s="532" t="s">
        <v>41</v>
      </c>
      <c r="AC52" s="534" t="s">
        <v>32</v>
      </c>
      <c r="AD52" s="539" t="s">
        <v>42</v>
      </c>
      <c r="AE52" s="537" t="s">
        <v>43</v>
      </c>
      <c r="AF52" s="532" t="s">
        <v>39</v>
      </c>
      <c r="AG52" s="532" t="s">
        <v>1371</v>
      </c>
      <c r="AH52" s="543" t="s">
        <v>1374</v>
      </c>
    </row>
    <row r="53" spans="1:34" s="300" customFormat="1" ht="109.5" customHeight="1" x14ac:dyDescent="0.2">
      <c r="A53" s="610"/>
      <c r="B53" s="611"/>
      <c r="C53" s="611"/>
      <c r="D53" s="611"/>
      <c r="E53" s="611"/>
      <c r="F53" s="534" t="s">
        <v>693</v>
      </c>
      <c r="G53" s="534" t="s">
        <v>706</v>
      </c>
      <c r="H53" s="536" t="s">
        <v>32</v>
      </c>
      <c r="I53" s="366" t="s">
        <v>844</v>
      </c>
      <c r="J53" s="518" t="s">
        <v>699</v>
      </c>
      <c r="K53" s="519" t="s">
        <v>700</v>
      </c>
      <c r="L53" s="519" t="s">
        <v>701</v>
      </c>
      <c r="M53" s="519" t="s">
        <v>710</v>
      </c>
      <c r="N53" s="519" t="s">
        <v>32</v>
      </c>
      <c r="O53" s="519" t="s">
        <v>702</v>
      </c>
      <c r="P53" s="545" t="s">
        <v>711</v>
      </c>
      <c r="Q53" s="527" t="s">
        <v>57</v>
      </c>
      <c r="R53" s="550" t="s">
        <v>39</v>
      </c>
      <c r="S53" s="29">
        <v>0.95</v>
      </c>
      <c r="T53" s="30">
        <v>0.95</v>
      </c>
      <c r="U53" s="30">
        <v>0.95</v>
      </c>
      <c r="V53" s="31">
        <v>0.95</v>
      </c>
      <c r="W53" s="14" t="s">
        <v>40</v>
      </c>
      <c r="X53" s="15" t="s">
        <v>40</v>
      </c>
      <c r="Y53" s="15" t="s">
        <v>40</v>
      </c>
      <c r="Z53" s="392" t="s">
        <v>40</v>
      </c>
      <c r="AA53" s="388" t="s">
        <v>709</v>
      </c>
      <c r="AB53" s="534" t="s">
        <v>703</v>
      </c>
      <c r="AC53" s="534" t="s">
        <v>5</v>
      </c>
      <c r="AD53" s="539" t="s">
        <v>42</v>
      </c>
      <c r="AE53" s="534" t="s">
        <v>72</v>
      </c>
      <c r="AF53" s="532" t="s">
        <v>39</v>
      </c>
      <c r="AG53" s="532" t="s">
        <v>1371</v>
      </c>
      <c r="AH53" s="543" t="s">
        <v>1374</v>
      </c>
    </row>
    <row r="54" spans="1:34" ht="90.75" customHeight="1" x14ac:dyDescent="0.2">
      <c r="A54" s="610" t="s">
        <v>326</v>
      </c>
      <c r="B54" s="611" t="s">
        <v>297</v>
      </c>
      <c r="C54" s="611" t="s">
        <v>327</v>
      </c>
      <c r="D54" s="609" t="s">
        <v>1330</v>
      </c>
      <c r="E54" s="609" t="s">
        <v>811</v>
      </c>
      <c r="F54" s="609" t="s">
        <v>329</v>
      </c>
      <c r="G54" s="609" t="s">
        <v>330</v>
      </c>
      <c r="H54" s="672" t="s">
        <v>32</v>
      </c>
      <c r="I54" s="362" t="s">
        <v>845</v>
      </c>
      <c r="J54" s="673" t="s">
        <v>331</v>
      </c>
      <c r="K54" s="674" t="s">
        <v>332</v>
      </c>
      <c r="L54" s="674" t="s">
        <v>333</v>
      </c>
      <c r="M54" s="674" t="s">
        <v>334</v>
      </c>
      <c r="N54" s="674" t="s">
        <v>32</v>
      </c>
      <c r="O54" s="674" t="s">
        <v>335</v>
      </c>
      <c r="P54" s="674" t="s">
        <v>336</v>
      </c>
      <c r="Q54" s="686" t="s">
        <v>57</v>
      </c>
      <c r="R54" s="687">
        <v>0.94</v>
      </c>
      <c r="S54" s="688">
        <v>0.96</v>
      </c>
      <c r="T54" s="684">
        <v>0.98</v>
      </c>
      <c r="U54" s="684">
        <v>0.99</v>
      </c>
      <c r="V54" s="685">
        <v>1</v>
      </c>
      <c r="W54" s="682">
        <v>234036000</v>
      </c>
      <c r="X54" s="696">
        <v>243397440</v>
      </c>
      <c r="Y54" s="696">
        <v>252819993.59999999</v>
      </c>
      <c r="Z54" s="694">
        <v>262306105.34399998</v>
      </c>
      <c r="AA54" s="388" t="s">
        <v>337</v>
      </c>
      <c r="AB54" s="532" t="s">
        <v>338</v>
      </c>
      <c r="AC54" s="534" t="s">
        <v>32</v>
      </c>
      <c r="AD54" s="539" t="s">
        <v>42</v>
      </c>
      <c r="AE54" s="537" t="s">
        <v>43</v>
      </c>
      <c r="AF54" s="532" t="s">
        <v>39</v>
      </c>
      <c r="AG54" s="532" t="s">
        <v>1375</v>
      </c>
      <c r="AH54" s="543" t="s">
        <v>1376</v>
      </c>
    </row>
    <row r="55" spans="1:34" ht="116.25" customHeight="1" x14ac:dyDescent="0.2">
      <c r="A55" s="610"/>
      <c r="B55" s="611"/>
      <c r="C55" s="611"/>
      <c r="D55" s="609"/>
      <c r="E55" s="609"/>
      <c r="F55" s="609"/>
      <c r="G55" s="609"/>
      <c r="H55" s="672"/>
      <c r="I55" s="362" t="s">
        <v>846</v>
      </c>
      <c r="J55" s="673"/>
      <c r="K55" s="674"/>
      <c r="L55" s="674"/>
      <c r="M55" s="674"/>
      <c r="N55" s="674"/>
      <c r="O55" s="674"/>
      <c r="P55" s="674"/>
      <c r="Q55" s="686"/>
      <c r="R55" s="687"/>
      <c r="S55" s="688"/>
      <c r="T55" s="684"/>
      <c r="U55" s="684"/>
      <c r="V55" s="685"/>
      <c r="W55" s="682"/>
      <c r="X55" s="696"/>
      <c r="Y55" s="696"/>
      <c r="Z55" s="694"/>
      <c r="AA55" s="562" t="s">
        <v>341</v>
      </c>
      <c r="AB55" s="534" t="s">
        <v>342</v>
      </c>
      <c r="AC55" s="534" t="s">
        <v>32</v>
      </c>
      <c r="AD55" s="539" t="s">
        <v>42</v>
      </c>
      <c r="AE55" s="534" t="s">
        <v>343</v>
      </c>
      <c r="AF55" s="532" t="s">
        <v>39</v>
      </c>
      <c r="AG55" s="532" t="s">
        <v>1375</v>
      </c>
      <c r="AH55" s="543" t="s">
        <v>1376</v>
      </c>
    </row>
    <row r="56" spans="1:34" ht="119.25" customHeight="1" x14ac:dyDescent="0.2">
      <c r="A56" s="610"/>
      <c r="B56" s="611"/>
      <c r="C56" s="611"/>
      <c r="D56" s="609"/>
      <c r="E56" s="609"/>
      <c r="F56" s="609"/>
      <c r="G56" s="609"/>
      <c r="H56" s="672"/>
      <c r="I56" s="362" t="s">
        <v>847</v>
      </c>
      <c r="J56" s="673"/>
      <c r="K56" s="674"/>
      <c r="L56" s="674"/>
      <c r="M56" s="674"/>
      <c r="N56" s="674"/>
      <c r="O56" s="674"/>
      <c r="P56" s="674"/>
      <c r="Q56" s="686"/>
      <c r="R56" s="687"/>
      <c r="S56" s="688"/>
      <c r="T56" s="684"/>
      <c r="U56" s="684"/>
      <c r="V56" s="685"/>
      <c r="W56" s="682"/>
      <c r="X56" s="696"/>
      <c r="Y56" s="696"/>
      <c r="Z56" s="694"/>
      <c r="AA56" s="562" t="s">
        <v>344</v>
      </c>
      <c r="AB56" s="534" t="s">
        <v>345</v>
      </c>
      <c r="AC56" s="534" t="s">
        <v>32</v>
      </c>
      <c r="AD56" s="539" t="s">
        <v>42</v>
      </c>
      <c r="AE56" s="534" t="s">
        <v>343</v>
      </c>
      <c r="AF56" s="532" t="s">
        <v>39</v>
      </c>
      <c r="AG56" s="532" t="s">
        <v>1375</v>
      </c>
      <c r="AH56" s="543" t="s">
        <v>1376</v>
      </c>
    </row>
    <row r="57" spans="1:34" ht="13.5" thickBot="1" x14ac:dyDescent="0.25">
      <c r="A57" s="369"/>
      <c r="B57" s="563"/>
      <c r="C57" s="565"/>
      <c r="D57" s="563"/>
      <c r="E57" s="565"/>
      <c r="F57" s="565"/>
      <c r="G57" s="565"/>
      <c r="H57" s="564"/>
      <c r="I57" s="368"/>
      <c r="J57" s="528"/>
      <c r="K57" s="370"/>
      <c r="L57" s="370"/>
      <c r="M57" s="370"/>
      <c r="N57" s="378"/>
      <c r="O57" s="370"/>
      <c r="P57" s="370"/>
      <c r="Q57" s="80"/>
      <c r="R57" s="82"/>
      <c r="S57" s="79"/>
      <c r="T57" s="80"/>
      <c r="U57" s="80"/>
      <c r="V57" s="83"/>
      <c r="W57" s="84"/>
      <c r="X57" s="85"/>
      <c r="Y57" s="85"/>
      <c r="Z57" s="398"/>
      <c r="AA57" s="399"/>
      <c r="AB57" s="565"/>
      <c r="AC57" s="563"/>
      <c r="AD57" s="565"/>
      <c r="AE57" s="565"/>
      <c r="AF57" s="565"/>
      <c r="AG57" s="565"/>
      <c r="AH57" s="566"/>
    </row>
    <row r="58" spans="1:34" ht="13.5" thickBot="1" x14ac:dyDescent="0.25">
      <c r="D58" s="300"/>
      <c r="E58" s="300"/>
      <c r="F58" s="300"/>
      <c r="G58" s="300"/>
      <c r="H58" s="300"/>
      <c r="J58" s="300"/>
      <c r="N58" s="300"/>
      <c r="AC58" s="300"/>
    </row>
    <row r="59" spans="1:34" ht="43.5" customHeight="1" x14ac:dyDescent="0.2">
      <c r="A59" s="502" t="s">
        <v>346</v>
      </c>
      <c r="B59" s="643" t="s">
        <v>347</v>
      </c>
      <c r="C59" s="643"/>
      <c r="D59" s="643"/>
      <c r="E59" s="643"/>
      <c r="F59" s="643"/>
      <c r="G59" s="643"/>
      <c r="H59" s="648"/>
      <c r="I59" s="504"/>
      <c r="J59" s="505" t="s">
        <v>355</v>
      </c>
      <c r="K59" s="677" t="s">
        <v>1188</v>
      </c>
      <c r="L59" s="677"/>
      <c r="M59" s="677"/>
      <c r="N59" s="677"/>
      <c r="O59" s="677"/>
      <c r="P59" s="677"/>
      <c r="Q59" s="677"/>
      <c r="R59" s="677"/>
      <c r="S59" s="677"/>
      <c r="T59" s="677"/>
      <c r="U59" s="677"/>
      <c r="V59" s="677"/>
      <c r="W59" s="677"/>
      <c r="X59" s="677"/>
      <c r="Y59" s="677"/>
      <c r="Z59" s="677"/>
      <c r="AA59" s="677"/>
      <c r="AB59" s="677"/>
      <c r="AC59" s="677"/>
      <c r="AD59" s="677"/>
      <c r="AE59" s="677"/>
      <c r="AF59" s="677"/>
      <c r="AG59" s="677"/>
      <c r="AH59" s="678"/>
    </row>
    <row r="60" spans="1:34" ht="43.5" customHeight="1" x14ac:dyDescent="0.2">
      <c r="A60" s="503" t="s">
        <v>348</v>
      </c>
      <c r="B60" s="611" t="s">
        <v>349</v>
      </c>
      <c r="C60" s="611"/>
      <c r="D60" s="611"/>
      <c r="E60" s="611"/>
      <c r="F60" s="611"/>
      <c r="G60" s="611"/>
      <c r="H60" s="619"/>
      <c r="I60" s="504"/>
      <c r="J60" s="578" t="s">
        <v>1192</v>
      </c>
      <c r="K60" s="611" t="s">
        <v>1189</v>
      </c>
      <c r="L60" s="611"/>
      <c r="M60" s="611"/>
      <c r="N60" s="611"/>
      <c r="O60" s="611"/>
      <c r="P60" s="611"/>
      <c r="Q60" s="611"/>
      <c r="R60" s="611"/>
      <c r="S60" s="611"/>
      <c r="T60" s="611"/>
      <c r="U60" s="611"/>
      <c r="V60" s="611"/>
      <c r="W60" s="611"/>
      <c r="X60" s="611"/>
      <c r="Y60" s="611"/>
      <c r="Z60" s="611"/>
      <c r="AA60" s="611"/>
      <c r="AB60" s="611"/>
      <c r="AC60" s="611"/>
      <c r="AD60" s="611"/>
      <c r="AE60" s="611"/>
      <c r="AF60" s="611"/>
      <c r="AG60" s="611"/>
      <c r="AH60" s="619"/>
    </row>
    <row r="61" spans="1:34" ht="53.25" customHeight="1" x14ac:dyDescent="0.2">
      <c r="A61" s="670" t="s">
        <v>350</v>
      </c>
      <c r="B61" s="611" t="s">
        <v>1337</v>
      </c>
      <c r="C61" s="611"/>
      <c r="D61" s="611"/>
      <c r="E61" s="611"/>
      <c r="F61" s="611"/>
      <c r="G61" s="611"/>
      <c r="H61" s="619"/>
      <c r="I61" s="504"/>
      <c r="J61" s="578" t="s">
        <v>1193</v>
      </c>
      <c r="K61" s="611" t="s">
        <v>1190</v>
      </c>
      <c r="L61" s="611"/>
      <c r="M61" s="611"/>
      <c r="N61" s="611"/>
      <c r="O61" s="611"/>
      <c r="P61" s="611"/>
      <c r="Q61" s="611"/>
      <c r="R61" s="611"/>
      <c r="S61" s="611"/>
      <c r="T61" s="611"/>
      <c r="U61" s="611"/>
      <c r="V61" s="611"/>
      <c r="W61" s="611"/>
      <c r="X61" s="611"/>
      <c r="Y61" s="611"/>
      <c r="Z61" s="611"/>
      <c r="AA61" s="611"/>
      <c r="AB61" s="611"/>
      <c r="AC61" s="611"/>
      <c r="AD61" s="611"/>
      <c r="AE61" s="611"/>
      <c r="AF61" s="611"/>
      <c r="AG61" s="611"/>
      <c r="AH61" s="619"/>
    </row>
    <row r="62" spans="1:34" ht="57.75" customHeight="1" x14ac:dyDescent="0.2">
      <c r="A62" s="670"/>
      <c r="B62" s="611" t="s">
        <v>1338</v>
      </c>
      <c r="C62" s="611"/>
      <c r="D62" s="611"/>
      <c r="E62" s="611"/>
      <c r="F62" s="611"/>
      <c r="G62" s="611"/>
      <c r="H62" s="619"/>
      <c r="I62" s="504"/>
      <c r="J62" s="578" t="s">
        <v>1194</v>
      </c>
      <c r="K62" s="611" t="s">
        <v>1191</v>
      </c>
      <c r="L62" s="611"/>
      <c r="M62" s="611"/>
      <c r="N62" s="611"/>
      <c r="O62" s="611"/>
      <c r="P62" s="611"/>
      <c r="Q62" s="611"/>
      <c r="R62" s="611"/>
      <c r="S62" s="611"/>
      <c r="T62" s="611"/>
      <c r="U62" s="611"/>
      <c r="V62" s="611"/>
      <c r="W62" s="611"/>
      <c r="X62" s="611"/>
      <c r="Y62" s="611"/>
      <c r="Z62" s="611"/>
      <c r="AA62" s="611"/>
      <c r="AB62" s="611"/>
      <c r="AC62" s="611"/>
      <c r="AD62" s="611"/>
      <c r="AE62" s="611"/>
      <c r="AF62" s="611"/>
      <c r="AG62" s="611"/>
      <c r="AH62" s="619"/>
    </row>
    <row r="63" spans="1:34" ht="56.25" customHeight="1" thickBot="1" x14ac:dyDescent="0.25">
      <c r="A63" s="670"/>
      <c r="B63" s="611" t="s">
        <v>1351</v>
      </c>
      <c r="C63" s="611"/>
      <c r="D63" s="611"/>
      <c r="E63" s="611"/>
      <c r="F63" s="611"/>
      <c r="G63" s="611"/>
      <c r="H63" s="619"/>
      <c r="I63" s="504"/>
      <c r="J63" s="579" t="s">
        <v>1377</v>
      </c>
      <c r="K63" s="675" t="s">
        <v>1523</v>
      </c>
      <c r="L63" s="675"/>
      <c r="M63" s="675"/>
      <c r="N63" s="675"/>
      <c r="O63" s="675"/>
      <c r="P63" s="675"/>
      <c r="Q63" s="675"/>
      <c r="R63" s="675"/>
      <c r="S63" s="675"/>
      <c r="T63" s="675"/>
      <c r="U63" s="675"/>
      <c r="V63" s="675"/>
      <c r="W63" s="675"/>
      <c r="X63" s="675"/>
      <c r="Y63" s="675"/>
      <c r="Z63" s="675"/>
      <c r="AA63" s="675"/>
      <c r="AB63" s="675"/>
      <c r="AC63" s="675"/>
      <c r="AD63" s="675"/>
      <c r="AE63" s="675"/>
      <c r="AF63" s="675"/>
      <c r="AG63" s="675"/>
      <c r="AH63" s="676"/>
    </row>
    <row r="64" spans="1:34" ht="43.5" customHeight="1" x14ac:dyDescent="0.2">
      <c r="A64" s="670"/>
      <c r="B64" s="611" t="s">
        <v>1349</v>
      </c>
      <c r="C64" s="611"/>
      <c r="D64" s="611"/>
      <c r="E64" s="611"/>
      <c r="F64" s="611"/>
      <c r="G64" s="611"/>
      <c r="H64" s="619"/>
      <c r="I64" s="504"/>
      <c r="J64" s="504"/>
      <c r="K64" s="504"/>
      <c r="L64" s="504"/>
      <c r="M64" s="499"/>
      <c r="N64" s="499"/>
      <c r="O64" s="499"/>
      <c r="P64" s="499"/>
      <c r="Q64" s="499"/>
      <c r="R64" s="499"/>
      <c r="S64" s="499"/>
      <c r="T64" s="499"/>
      <c r="U64" s="499"/>
      <c r="V64" s="499"/>
      <c r="W64" s="499"/>
      <c r="X64" s="499"/>
      <c r="Y64" s="499"/>
      <c r="Z64" s="499"/>
      <c r="AA64" s="499"/>
      <c r="AB64" s="499"/>
      <c r="AC64" s="499"/>
      <c r="AD64" s="499"/>
      <c r="AE64" s="499"/>
      <c r="AF64" s="499"/>
      <c r="AG64" s="499"/>
      <c r="AH64" s="499"/>
    </row>
    <row r="65" spans="1:34" ht="43.5" customHeight="1" thickBot="1" x14ac:dyDescent="0.25">
      <c r="A65" s="671"/>
      <c r="B65" s="675" t="s">
        <v>1378</v>
      </c>
      <c r="C65" s="675"/>
      <c r="D65" s="675"/>
      <c r="E65" s="675"/>
      <c r="F65" s="675"/>
      <c r="G65" s="675"/>
      <c r="H65" s="676"/>
      <c r="I65" s="504"/>
      <c r="J65" s="504"/>
      <c r="K65" s="504"/>
      <c r="L65" s="504"/>
      <c r="M65" s="499"/>
      <c r="N65" s="499"/>
      <c r="O65" s="499"/>
      <c r="P65" s="499"/>
      <c r="Q65" s="499"/>
      <c r="R65" s="499"/>
      <c r="S65" s="499"/>
      <c r="T65" s="499"/>
      <c r="U65" s="499"/>
      <c r="V65" s="499"/>
      <c r="W65" s="499"/>
      <c r="X65" s="499"/>
      <c r="Y65" s="499"/>
      <c r="Z65" s="499"/>
      <c r="AA65" s="499"/>
      <c r="AB65" s="499"/>
      <c r="AC65" s="499"/>
      <c r="AD65" s="499"/>
      <c r="AE65" s="499"/>
      <c r="AF65" s="499"/>
      <c r="AG65" s="499"/>
      <c r="AH65" s="499"/>
    </row>
    <row r="66" spans="1:34" ht="19.5" customHeight="1" x14ac:dyDescent="0.2">
      <c r="D66" s="500"/>
      <c r="E66" s="501"/>
      <c r="F66" s="499"/>
      <c r="G66" s="499"/>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c r="AE66" s="499"/>
      <c r="AF66" s="499"/>
      <c r="AG66" s="499"/>
      <c r="AH66" s="499"/>
    </row>
  </sheetData>
  <autoFilter ref="A8:AK57" xr:uid="{00000000-0001-0000-0000-000000000000}"/>
  <mergeCells count="177">
    <mergeCell ref="K62:AH62"/>
    <mergeCell ref="K63:AH63"/>
    <mergeCell ref="H26:H27"/>
    <mergeCell ref="B59:H59"/>
    <mergeCell ref="M54:M56"/>
    <mergeCell ref="F54:F56"/>
    <mergeCell ref="Z54:Z56"/>
    <mergeCell ref="Z50:Z51"/>
    <mergeCell ref="Z41:Z46"/>
    <mergeCell ref="E52:E53"/>
    <mergeCell ref="X54:X56"/>
    <mergeCell ref="Y54:Y56"/>
    <mergeCell ref="F41:F46"/>
    <mergeCell ref="X50:X51"/>
    <mergeCell ref="Y50:Y51"/>
    <mergeCell ref="X41:X46"/>
    <mergeCell ref="G47:G48"/>
    <mergeCell ref="B47:B48"/>
    <mergeCell ref="C47:C48"/>
    <mergeCell ref="AF41:AF46"/>
    <mergeCell ref="G41:G46"/>
    <mergeCell ref="H41:H46"/>
    <mergeCell ref="B54:B56"/>
    <mergeCell ref="Y41:Y46"/>
    <mergeCell ref="J21:J22"/>
    <mergeCell ref="K21:K22"/>
    <mergeCell ref="L21:L22"/>
    <mergeCell ref="M21:M22"/>
    <mergeCell ref="N21:N22"/>
    <mergeCell ref="O21:O22"/>
    <mergeCell ref="P21:P22"/>
    <mergeCell ref="Q21:Q22"/>
    <mergeCell ref="W54:W56"/>
    <mergeCell ref="W50:W51"/>
    <mergeCell ref="T54:T56"/>
    <mergeCell ref="U54:U56"/>
    <mergeCell ref="V54:V56"/>
    <mergeCell ref="N54:N56"/>
    <mergeCell ref="O54:O56"/>
    <mergeCell ref="P54:P56"/>
    <mergeCell ref="Q54:Q56"/>
    <mergeCell ref="R54:R56"/>
    <mergeCell ref="S54:S56"/>
    <mergeCell ref="J41:J46"/>
    <mergeCell ref="K41:K46"/>
    <mergeCell ref="R41:R46"/>
    <mergeCell ref="W41:W46"/>
    <mergeCell ref="A61:A65"/>
    <mergeCell ref="G54:G56"/>
    <mergeCell ref="H54:H56"/>
    <mergeCell ref="J54:J56"/>
    <mergeCell ref="K54:K56"/>
    <mergeCell ref="L54:L56"/>
    <mergeCell ref="H47:H48"/>
    <mergeCell ref="B60:H60"/>
    <mergeCell ref="B61:H61"/>
    <mergeCell ref="B62:H62"/>
    <mergeCell ref="B63:H63"/>
    <mergeCell ref="B64:H64"/>
    <mergeCell ref="B65:H65"/>
    <mergeCell ref="K59:AH59"/>
    <mergeCell ref="K60:AH60"/>
    <mergeCell ref="K61:AH61"/>
    <mergeCell ref="D47:D48"/>
    <mergeCell ref="E47:E48"/>
    <mergeCell ref="F47:F48"/>
    <mergeCell ref="A52:A53"/>
    <mergeCell ref="B52:B53"/>
    <mergeCell ref="C52:C53"/>
    <mergeCell ref="D52:D53"/>
    <mergeCell ref="A47:A48"/>
    <mergeCell ref="A29:A31"/>
    <mergeCell ref="B29:B31"/>
    <mergeCell ref="C29:C31"/>
    <mergeCell ref="D29:D31"/>
    <mergeCell ref="E29:E31"/>
    <mergeCell ref="C32:C35"/>
    <mergeCell ref="D32:D35"/>
    <mergeCell ref="E32:E35"/>
    <mergeCell ref="F36:F39"/>
    <mergeCell ref="F32:F34"/>
    <mergeCell ref="A32:A35"/>
    <mergeCell ref="B32:B35"/>
    <mergeCell ref="C54:C56"/>
    <mergeCell ref="D54:D56"/>
    <mergeCell ref="E54:E56"/>
    <mergeCell ref="A36:A39"/>
    <mergeCell ref="B36:B39"/>
    <mergeCell ref="C36:C39"/>
    <mergeCell ref="D36:D39"/>
    <mergeCell ref="E36:E39"/>
    <mergeCell ref="A54:A56"/>
    <mergeCell ref="A41:A46"/>
    <mergeCell ref="B41:B46"/>
    <mergeCell ref="C41:C46"/>
    <mergeCell ref="D41:D46"/>
    <mergeCell ref="E41:E46"/>
    <mergeCell ref="C11:C13"/>
    <mergeCell ref="D11:D13"/>
    <mergeCell ref="E11:E13"/>
    <mergeCell ref="A11:A13"/>
    <mergeCell ref="B11:B13"/>
    <mergeCell ref="C17:C20"/>
    <mergeCell ref="D17:D20"/>
    <mergeCell ref="E17:E20"/>
    <mergeCell ref="A9:A10"/>
    <mergeCell ref="B9:B10"/>
    <mergeCell ref="C9:C10"/>
    <mergeCell ref="D9:D10"/>
    <mergeCell ref="E9:E10"/>
    <mergeCell ref="A15:A16"/>
    <mergeCell ref="B15:B16"/>
    <mergeCell ref="C15:C16"/>
    <mergeCell ref="D15:D16"/>
    <mergeCell ref="E15:E16"/>
    <mergeCell ref="F9:F10"/>
    <mergeCell ref="S7:V7"/>
    <mergeCell ref="W7:Z7"/>
    <mergeCell ref="AA7:AA8"/>
    <mergeCell ref="M7:M8"/>
    <mergeCell ref="N7:N8"/>
    <mergeCell ref="O7:O8"/>
    <mergeCell ref="P7:P8"/>
    <mergeCell ref="Q7:Q8"/>
    <mergeCell ref="R7:R8"/>
    <mergeCell ref="G9:G10"/>
    <mergeCell ref="H9:H10"/>
    <mergeCell ref="G7:G8"/>
    <mergeCell ref="H7:H8"/>
    <mergeCell ref="I7:I8"/>
    <mergeCell ref="A1:AH1"/>
    <mergeCell ref="A2:AH2"/>
    <mergeCell ref="A6:H6"/>
    <mergeCell ref="A7:A8"/>
    <mergeCell ref="B7:B8"/>
    <mergeCell ref="C7:C8"/>
    <mergeCell ref="D7:D8"/>
    <mergeCell ref="E7:E8"/>
    <mergeCell ref="AG7:AG8"/>
    <mergeCell ref="AH7:AH8"/>
    <mergeCell ref="AB7:AB8"/>
    <mergeCell ref="AC7:AC8"/>
    <mergeCell ref="AD7:AD8"/>
    <mergeCell ref="F7:F8"/>
    <mergeCell ref="J7:J8"/>
    <mergeCell ref="AE7:AE8"/>
    <mergeCell ref="AF7:AF8"/>
    <mergeCell ref="K7:K8"/>
    <mergeCell ref="L7:L8"/>
    <mergeCell ref="I6:AH6"/>
    <mergeCell ref="B4:AH4"/>
    <mergeCell ref="A21:A22"/>
    <mergeCell ref="B21:B22"/>
    <mergeCell ref="C21:C22"/>
    <mergeCell ref="D21:D22"/>
    <mergeCell ref="E21:E22"/>
    <mergeCell ref="F21:F22"/>
    <mergeCell ref="G21:G22"/>
    <mergeCell ref="H21:H22"/>
    <mergeCell ref="H18:H20"/>
    <mergeCell ref="A17:A20"/>
    <mergeCell ref="B17:B20"/>
    <mergeCell ref="F18:F20"/>
    <mergeCell ref="G18:G20"/>
    <mergeCell ref="G26:G27"/>
    <mergeCell ref="A26:A27"/>
    <mergeCell ref="B26:B27"/>
    <mergeCell ref="C26:C27"/>
    <mergeCell ref="D26:D27"/>
    <mergeCell ref="E26:E27"/>
    <mergeCell ref="F26:F27"/>
    <mergeCell ref="F24:F25"/>
    <mergeCell ref="E24:E25"/>
    <mergeCell ref="D24:D25"/>
    <mergeCell ref="C24:C25"/>
    <mergeCell ref="A24:A25"/>
    <mergeCell ref="B24:B25"/>
  </mergeCells>
  <dataValidations disablePrompts="1" count="2">
    <dataValidation type="list" allowBlank="1" showErrorMessage="1" sqref="H29" xr:uid="{73B34D17-2306-4971-95F2-71B3A44329DA}">
      <formula1>tipo</formula1>
    </dataValidation>
    <dataValidation type="list" allowBlank="1" showInputMessage="1" showErrorMessage="1" sqref="AC9:AC57 N57 H57 O29 H9 H11:H18 H28 H47 H21 N9:N21 H23:H26 H49:H54 N23:N54 H30:H41" xr:uid="{B4CD0010-E3B9-4F06-B920-319EE8A84CDD}">
      <formula1>tipo</formula1>
    </dataValidation>
  </dataValidations>
  <pageMargins left="0.24" right="0.15" top="0.42" bottom="0.74803149606299213" header="0.25" footer="0.31496062992125984"/>
  <pageSetup paperSize="5" scale="6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87"/>
  <sheetViews>
    <sheetView zoomScale="80" zoomScaleNormal="80" workbookViewId="0">
      <selection activeCell="C6" sqref="C6:H6"/>
    </sheetView>
  </sheetViews>
  <sheetFormatPr baseColWidth="10" defaultColWidth="0" defaultRowHeight="0" customHeight="1" zeroHeight="1" x14ac:dyDescent="0.25"/>
  <cols>
    <col min="1" max="1" width="2.7109375" style="118" customWidth="1"/>
    <col min="2" max="2" width="4.42578125" style="174" customWidth="1"/>
    <col min="3" max="3" width="30" style="175" customWidth="1"/>
    <col min="4" max="4" width="21.85546875" style="175" customWidth="1"/>
    <col min="5" max="5" width="30" style="175" customWidth="1"/>
    <col min="6" max="6" width="20" style="122" customWidth="1"/>
    <col min="7" max="8" width="13.42578125" style="122" customWidth="1"/>
    <col min="9" max="9" width="15.28515625" style="122" customWidth="1"/>
    <col min="10" max="10" width="58.42578125" style="173" customWidth="1"/>
    <col min="11" max="11" width="4.28515625" style="118" customWidth="1"/>
    <col min="12" max="16384" width="11.42578125" style="122" hidden="1"/>
  </cols>
  <sheetData>
    <row r="1" spans="1:11" ht="18.75" customHeight="1" x14ac:dyDescent="0.25">
      <c r="B1" s="119"/>
      <c r="C1" s="119"/>
      <c r="D1" s="120"/>
      <c r="E1" s="120"/>
      <c r="F1" s="120"/>
      <c r="G1" s="120"/>
      <c r="H1" s="120"/>
      <c r="I1" s="120"/>
      <c r="J1" s="121"/>
    </row>
    <row r="2" spans="1:11" ht="18.75" customHeight="1" x14ac:dyDescent="0.25">
      <c r="B2" s="123"/>
      <c r="C2" s="811" t="s">
        <v>512</v>
      </c>
      <c r="D2" s="811"/>
      <c r="E2" s="811"/>
      <c r="F2" s="811"/>
      <c r="G2" s="811"/>
      <c r="H2" s="811"/>
      <c r="I2" s="811"/>
      <c r="J2" s="811"/>
    </row>
    <row r="3" spans="1:11" ht="18.75" customHeight="1" x14ac:dyDescent="0.25">
      <c r="B3" s="123"/>
      <c r="C3" s="124"/>
      <c r="D3" s="125"/>
      <c r="E3" s="124"/>
      <c r="F3" s="126"/>
      <c r="G3" s="127"/>
      <c r="H3" s="128"/>
      <c r="I3" s="128"/>
      <c r="J3" s="129"/>
    </row>
    <row r="4" spans="1:11" ht="29.25" customHeight="1" x14ac:dyDescent="0.25">
      <c r="B4" s="123"/>
      <c r="C4" s="130" t="s">
        <v>478</v>
      </c>
      <c r="D4" s="812" t="s">
        <v>493</v>
      </c>
      <c r="E4" s="812"/>
      <c r="F4" s="812"/>
      <c r="G4" s="812"/>
      <c r="H4" s="812"/>
      <c r="I4" s="812"/>
      <c r="J4" s="812"/>
    </row>
    <row r="5" spans="1:11" ht="6.75" customHeight="1" x14ac:dyDescent="0.25">
      <c r="B5" s="123"/>
      <c r="C5" s="131"/>
      <c r="D5" s="132"/>
      <c r="E5" s="124"/>
      <c r="F5" s="133"/>
      <c r="G5" s="133"/>
      <c r="H5" s="133"/>
      <c r="I5" s="133"/>
      <c r="J5" s="129"/>
    </row>
    <row r="6" spans="1:11" ht="17.25" customHeight="1" x14ac:dyDescent="0.25">
      <c r="B6" s="123"/>
      <c r="C6" s="130" t="s">
        <v>480</v>
      </c>
      <c r="D6" s="812">
        <v>1</v>
      </c>
      <c r="E6" s="812"/>
      <c r="F6" s="812"/>
      <c r="G6" s="812"/>
      <c r="H6" s="812"/>
      <c r="I6" s="134"/>
      <c r="J6" s="134"/>
    </row>
    <row r="7" spans="1:11" ht="8.25" customHeight="1" x14ac:dyDescent="0.25">
      <c r="B7" s="123"/>
      <c r="C7" s="135"/>
      <c r="D7" s="135"/>
      <c r="E7" s="135"/>
      <c r="F7" s="136"/>
      <c r="G7" s="136"/>
      <c r="H7" s="136"/>
      <c r="I7" s="136"/>
      <c r="J7" s="129"/>
    </row>
    <row r="8" spans="1:11" ht="18" customHeight="1" x14ac:dyDescent="0.25">
      <c r="B8" s="123"/>
      <c r="C8" s="130" t="s">
        <v>481</v>
      </c>
      <c r="D8" s="813">
        <v>44225</v>
      </c>
      <c r="E8" s="812"/>
      <c r="F8" s="812"/>
      <c r="G8" s="812"/>
      <c r="H8" s="812"/>
      <c r="I8" s="134"/>
      <c r="J8" s="134"/>
    </row>
    <row r="9" spans="1:11" ht="8.25" customHeight="1" thickBot="1" x14ac:dyDescent="0.3">
      <c r="B9" s="123"/>
      <c r="C9" s="137"/>
      <c r="D9" s="137"/>
      <c r="E9" s="137"/>
      <c r="F9" s="138"/>
      <c r="G9" s="138"/>
      <c r="H9" s="138"/>
      <c r="I9" s="138"/>
      <c r="J9" s="139"/>
    </row>
    <row r="10" spans="1:11" ht="18" customHeight="1" x14ac:dyDescent="0.25">
      <c r="B10" s="808" t="s">
        <v>357</v>
      </c>
      <c r="C10" s="831"/>
      <c r="D10" s="831"/>
      <c r="E10" s="831"/>
      <c r="F10" s="831"/>
      <c r="G10" s="831"/>
      <c r="H10" s="831"/>
      <c r="I10" s="831"/>
      <c r="J10" s="809"/>
    </row>
    <row r="11" spans="1:11" ht="18" customHeight="1" x14ac:dyDescent="0.25">
      <c r="B11" s="828" t="s">
        <v>358</v>
      </c>
      <c r="C11" s="818" t="s">
        <v>360</v>
      </c>
      <c r="D11" s="818" t="s">
        <v>361</v>
      </c>
      <c r="E11" s="818" t="s">
        <v>362</v>
      </c>
      <c r="F11" s="818" t="s">
        <v>363</v>
      </c>
      <c r="G11" s="818" t="s">
        <v>364</v>
      </c>
      <c r="H11" s="818"/>
      <c r="I11" s="250" t="s">
        <v>365</v>
      </c>
      <c r="J11" s="819" t="s">
        <v>29</v>
      </c>
    </row>
    <row r="12" spans="1:11" s="141" customFormat="1" ht="18" customHeight="1" thickBot="1" x14ac:dyDescent="0.3">
      <c r="A12" s="140"/>
      <c r="B12" s="829"/>
      <c r="C12" s="830"/>
      <c r="D12" s="830"/>
      <c r="E12" s="830"/>
      <c r="F12" s="830"/>
      <c r="G12" s="247" t="s">
        <v>366</v>
      </c>
      <c r="H12" s="247" t="s">
        <v>367</v>
      </c>
      <c r="I12" s="257">
        <f>SUM(I13:I15)</f>
        <v>1</v>
      </c>
      <c r="J12" s="820"/>
      <c r="K12" s="140"/>
    </row>
    <row r="13" spans="1:11" s="141" customFormat="1" ht="61.5" customHeight="1" x14ac:dyDescent="0.25">
      <c r="A13" s="140"/>
      <c r="B13" s="142">
        <v>1</v>
      </c>
      <c r="C13" s="176" t="s">
        <v>513</v>
      </c>
      <c r="D13" s="176" t="s">
        <v>483</v>
      </c>
      <c r="E13" s="143" t="s">
        <v>514</v>
      </c>
      <c r="F13" s="144">
        <v>0.5</v>
      </c>
      <c r="G13" s="145">
        <v>44228</v>
      </c>
      <c r="H13" s="145">
        <v>44530</v>
      </c>
      <c r="I13" s="144">
        <v>0.4</v>
      </c>
      <c r="J13" s="177" t="s">
        <v>515</v>
      </c>
      <c r="K13" s="140"/>
    </row>
    <row r="14" spans="1:11" s="141" customFormat="1" ht="74.25" customHeight="1" x14ac:dyDescent="0.25">
      <c r="A14" s="140"/>
      <c r="B14" s="147">
        <v>2</v>
      </c>
      <c r="C14" s="178" t="s">
        <v>516</v>
      </c>
      <c r="D14" s="178" t="s">
        <v>483</v>
      </c>
      <c r="E14" s="149" t="s">
        <v>517</v>
      </c>
      <c r="F14" s="150">
        <v>0.25</v>
      </c>
      <c r="G14" s="151">
        <v>44228</v>
      </c>
      <c r="H14" s="151">
        <v>44530</v>
      </c>
      <c r="I14" s="150">
        <v>0.3</v>
      </c>
      <c r="J14" s="180" t="s">
        <v>515</v>
      </c>
      <c r="K14" s="140"/>
    </row>
    <row r="15" spans="1:11" s="141" customFormat="1" ht="49.5" customHeight="1" thickBot="1" x14ac:dyDescent="0.3">
      <c r="A15" s="140"/>
      <c r="B15" s="153">
        <v>3</v>
      </c>
      <c r="C15" s="154" t="s">
        <v>518</v>
      </c>
      <c r="D15" s="154" t="s">
        <v>483</v>
      </c>
      <c r="E15" s="156" t="s">
        <v>519</v>
      </c>
      <c r="F15" s="158">
        <v>0.25</v>
      </c>
      <c r="G15" s="157">
        <v>44228</v>
      </c>
      <c r="H15" s="157">
        <v>44530</v>
      </c>
      <c r="I15" s="158">
        <v>0.3</v>
      </c>
      <c r="J15" s="159" t="s">
        <v>515</v>
      </c>
      <c r="K15" s="140"/>
    </row>
    <row r="16" spans="1:11" s="141" customFormat="1" ht="33" customHeight="1" thickBot="1" x14ac:dyDescent="0.3">
      <c r="A16" s="140"/>
      <c r="B16" s="821" t="s">
        <v>487</v>
      </c>
      <c r="C16" s="821"/>
      <c r="D16" s="821"/>
      <c r="E16" s="821"/>
      <c r="F16" s="821"/>
      <c r="G16" s="821"/>
      <c r="H16" s="821"/>
      <c r="I16" s="821"/>
      <c r="J16" s="821"/>
      <c r="K16" s="140"/>
    </row>
    <row r="17" spans="1:11" s="141" customFormat="1" ht="21.75" customHeight="1" x14ac:dyDescent="0.25">
      <c r="A17" s="140"/>
      <c r="B17" s="160"/>
      <c r="C17" s="822" t="s">
        <v>488</v>
      </c>
      <c r="D17" s="823"/>
      <c r="E17" s="823"/>
      <c r="F17" s="824"/>
      <c r="G17" s="161"/>
      <c r="H17" s="161"/>
      <c r="I17" s="161"/>
      <c r="J17" s="162"/>
      <c r="K17" s="140"/>
    </row>
    <row r="18" spans="1:11" s="141" customFormat="1" ht="21.75" customHeight="1" x14ac:dyDescent="0.25">
      <c r="A18" s="140"/>
      <c r="B18" s="160"/>
      <c r="C18" s="248" t="s">
        <v>355</v>
      </c>
      <c r="D18" s="825" t="s">
        <v>489</v>
      </c>
      <c r="E18" s="825"/>
      <c r="F18" s="249" t="s">
        <v>490</v>
      </c>
      <c r="G18" s="161"/>
      <c r="H18" s="161"/>
      <c r="I18" s="161"/>
      <c r="J18" s="162"/>
      <c r="K18" s="140"/>
    </row>
    <row r="19" spans="1:11" s="141" customFormat="1" ht="28.5" customHeight="1" x14ac:dyDescent="0.2">
      <c r="A19" s="140"/>
      <c r="B19" s="160"/>
      <c r="C19" s="163">
        <v>1</v>
      </c>
      <c r="D19" s="826" t="s">
        <v>491</v>
      </c>
      <c r="E19" s="827"/>
      <c r="F19" s="164">
        <v>44225</v>
      </c>
      <c r="G19" s="161"/>
      <c r="H19" s="161"/>
      <c r="I19" s="161"/>
      <c r="J19" s="162"/>
      <c r="K19" s="140"/>
    </row>
    <row r="20" spans="1:11" s="141" customFormat="1" ht="28.5" customHeight="1" thickBot="1" x14ac:dyDescent="0.3">
      <c r="A20" s="140"/>
      <c r="B20" s="160"/>
      <c r="C20" s="165"/>
      <c r="D20" s="817"/>
      <c r="E20" s="817"/>
      <c r="F20" s="166"/>
      <c r="G20" s="161"/>
      <c r="H20" s="161"/>
      <c r="I20" s="161"/>
      <c r="J20" s="162"/>
      <c r="K20" s="140"/>
    </row>
    <row r="21" spans="1:11" s="141" customFormat="1" ht="33" customHeight="1" x14ac:dyDescent="0.25">
      <c r="A21" s="140"/>
      <c r="B21" s="160"/>
      <c r="C21" s="167"/>
      <c r="D21" s="167"/>
      <c r="E21" s="160"/>
      <c r="F21" s="160"/>
      <c r="G21" s="161"/>
      <c r="H21" s="161"/>
      <c r="I21" s="161"/>
      <c r="J21" s="162"/>
      <c r="K21" s="140"/>
    </row>
    <row r="22" spans="1:11" s="141" customFormat="1" ht="33" hidden="1" customHeight="1" x14ac:dyDescent="0.25">
      <c r="A22" s="140"/>
      <c r="B22" s="160"/>
      <c r="C22" s="167"/>
      <c r="D22" s="167"/>
      <c r="E22" s="160"/>
      <c r="F22" s="160"/>
      <c r="G22" s="161"/>
      <c r="H22" s="161"/>
      <c r="I22" s="161"/>
      <c r="J22" s="162"/>
      <c r="K22" s="140"/>
    </row>
    <row r="23" spans="1:11" s="141" customFormat="1" ht="33" hidden="1" customHeight="1" x14ac:dyDescent="0.25">
      <c r="A23" s="140"/>
      <c r="B23" s="160"/>
      <c r="C23" s="167"/>
      <c r="D23" s="167"/>
      <c r="E23" s="160"/>
      <c r="F23" s="160"/>
      <c r="G23" s="161"/>
      <c r="H23" s="161"/>
      <c r="I23" s="161"/>
      <c r="J23" s="162"/>
      <c r="K23" s="140"/>
    </row>
    <row r="24" spans="1:11" s="141" customFormat="1" ht="33" hidden="1" customHeight="1" x14ac:dyDescent="0.25">
      <c r="A24" s="140"/>
      <c r="B24" s="160"/>
      <c r="C24" s="167"/>
      <c r="D24" s="167"/>
      <c r="E24" s="160"/>
      <c r="F24" s="160"/>
      <c r="G24" s="161"/>
      <c r="H24" s="161"/>
      <c r="I24" s="161"/>
      <c r="J24" s="162"/>
      <c r="K24" s="140"/>
    </row>
    <row r="25" spans="1:11" s="141" customFormat="1" ht="6.75" hidden="1" customHeight="1" x14ac:dyDescent="0.25">
      <c r="A25" s="140"/>
      <c r="B25" s="168"/>
      <c r="C25" s="162"/>
      <c r="D25" s="162"/>
      <c r="E25" s="160"/>
      <c r="F25" s="160"/>
      <c r="G25" s="168"/>
      <c r="H25" s="168"/>
      <c r="I25" s="168"/>
      <c r="J25" s="162"/>
      <c r="K25" s="140"/>
    </row>
    <row r="26" spans="1:11" ht="42.75" hidden="1" customHeight="1" x14ac:dyDescent="0.25">
      <c r="B26" s="169"/>
      <c r="C26" s="170"/>
      <c r="D26" s="170"/>
      <c r="E26" s="171"/>
      <c r="F26" s="172"/>
      <c r="G26" s="141"/>
      <c r="H26" s="141"/>
      <c r="I26" s="141"/>
    </row>
    <row r="27" spans="1:11" ht="16.5" hidden="1" customHeight="1" x14ac:dyDescent="0.25">
      <c r="C27" s="122"/>
      <c r="D27" s="122"/>
      <c r="E27" s="122"/>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spans="1:11" ht="16.5" hidden="1" customHeight="1" x14ac:dyDescent="0.25"/>
    <row r="50" spans="1:11" ht="16.5" hidden="1" customHeight="1" x14ac:dyDescent="0.25"/>
    <row r="51" spans="1:11" ht="16.5" hidden="1" customHeight="1" x14ac:dyDescent="0.25"/>
    <row r="52" spans="1:11" ht="16.5" hidden="1" customHeight="1" x14ac:dyDescent="0.25"/>
    <row r="53" spans="1:11" ht="16.5" hidden="1" customHeight="1" x14ac:dyDescent="0.25"/>
    <row r="54" spans="1:11" ht="16.5" hidden="1" customHeight="1" x14ac:dyDescent="0.25"/>
    <row r="55" spans="1:11" ht="16.5" hidden="1" customHeight="1" x14ac:dyDescent="0.25"/>
    <row r="56" spans="1:11" ht="16.5" hidden="1" customHeight="1" x14ac:dyDescent="0.25"/>
    <row r="57" spans="1:11" ht="0" hidden="1" customHeight="1" x14ac:dyDescent="0.25">
      <c r="A57" s="122"/>
      <c r="B57" s="122"/>
      <c r="C57" s="122"/>
      <c r="D57" s="122"/>
      <c r="E57" s="122"/>
      <c r="J57" s="122"/>
      <c r="K57" s="122"/>
    </row>
    <row r="58" spans="1:11" ht="0" hidden="1" customHeight="1" x14ac:dyDescent="0.25">
      <c r="A58" s="122"/>
      <c r="B58" s="122"/>
      <c r="C58" s="122"/>
      <c r="D58" s="122"/>
      <c r="E58" s="122"/>
      <c r="J58" s="122"/>
      <c r="K58" s="122"/>
    </row>
    <row r="59" spans="1:11" ht="0" hidden="1" customHeight="1" x14ac:dyDescent="0.25">
      <c r="A59" s="122"/>
      <c r="B59" s="122"/>
      <c r="C59" s="122"/>
      <c r="D59" s="122"/>
      <c r="E59" s="122"/>
      <c r="J59" s="122"/>
      <c r="K59" s="122"/>
    </row>
    <row r="60" spans="1:11" ht="0" hidden="1" customHeight="1" x14ac:dyDescent="0.25">
      <c r="A60" s="122"/>
      <c r="B60" s="122"/>
      <c r="C60" s="122"/>
      <c r="D60" s="122"/>
      <c r="E60" s="122"/>
      <c r="J60" s="122"/>
      <c r="K60" s="122"/>
    </row>
    <row r="61" spans="1:11" ht="0" hidden="1" customHeight="1" x14ac:dyDescent="0.25">
      <c r="A61" s="122"/>
      <c r="B61" s="122"/>
      <c r="C61" s="122"/>
      <c r="D61" s="122"/>
      <c r="E61" s="122"/>
      <c r="J61" s="122"/>
      <c r="K61" s="122"/>
    </row>
    <row r="62" spans="1:11" ht="0" hidden="1" customHeight="1" x14ac:dyDescent="0.25">
      <c r="A62" s="122"/>
      <c r="B62" s="122"/>
      <c r="C62" s="122"/>
      <c r="D62" s="122"/>
      <c r="E62" s="122"/>
      <c r="J62" s="122"/>
      <c r="K62" s="122"/>
    </row>
    <row r="63" spans="1:11" ht="0" hidden="1" customHeight="1" x14ac:dyDescent="0.25">
      <c r="A63" s="122"/>
      <c r="B63" s="122"/>
      <c r="C63" s="122"/>
      <c r="D63" s="122"/>
      <c r="E63" s="122"/>
      <c r="J63" s="122"/>
      <c r="K63" s="122"/>
    </row>
    <row r="64" spans="1:11" ht="0" hidden="1" customHeight="1" x14ac:dyDescent="0.25">
      <c r="A64" s="122"/>
      <c r="B64" s="122"/>
      <c r="C64" s="122"/>
      <c r="D64" s="122"/>
      <c r="E64" s="122"/>
      <c r="J64" s="122"/>
      <c r="K64" s="122"/>
    </row>
    <row r="65" spans="1:11" ht="0" hidden="1" customHeight="1" x14ac:dyDescent="0.25">
      <c r="A65" s="122"/>
      <c r="B65" s="122"/>
      <c r="C65" s="122"/>
      <c r="D65" s="122"/>
      <c r="E65" s="122"/>
      <c r="J65" s="122"/>
      <c r="K65" s="122"/>
    </row>
    <row r="66" spans="1:11" ht="0" hidden="1" customHeight="1" x14ac:dyDescent="0.25">
      <c r="A66" s="122"/>
      <c r="B66" s="122"/>
      <c r="C66" s="122"/>
      <c r="D66" s="122"/>
      <c r="E66" s="122"/>
      <c r="J66" s="122"/>
      <c r="K66" s="122"/>
    </row>
    <row r="67" spans="1:11" ht="15" hidden="1" customHeight="1" x14ac:dyDescent="0.25"/>
    <row r="68" spans="1:11" ht="15" hidden="1" customHeight="1" x14ac:dyDescent="0.25"/>
    <row r="69" spans="1:11" ht="15" hidden="1" customHeight="1" x14ac:dyDescent="0.25"/>
    <row r="70" spans="1:11" ht="15" hidden="1" customHeight="1" x14ac:dyDescent="0.25"/>
    <row r="71" spans="1:11" ht="15" hidden="1" customHeight="1" x14ac:dyDescent="0.25"/>
    <row r="72" spans="1:11" ht="15" hidden="1" customHeight="1" x14ac:dyDescent="0.25"/>
    <row r="73" spans="1:11" ht="15" hidden="1" customHeight="1" x14ac:dyDescent="0.25"/>
    <row r="74" spans="1:11" ht="15" hidden="1" customHeight="1" x14ac:dyDescent="0.25"/>
    <row r="75" spans="1:11" ht="15" hidden="1" customHeight="1" x14ac:dyDescent="0.25"/>
    <row r="76" spans="1:11" ht="15" hidden="1" customHeight="1" x14ac:dyDescent="0.25"/>
    <row r="77" spans="1:11" ht="15" hidden="1" customHeight="1" x14ac:dyDescent="0.25"/>
    <row r="78" spans="1:11" ht="15" hidden="1" customHeight="1" x14ac:dyDescent="0.25"/>
    <row r="79" spans="1:11" ht="15" hidden="1" customHeight="1" x14ac:dyDescent="0.25"/>
    <row r="80" spans="1:11"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976"/>
  <sheetViews>
    <sheetView zoomScale="80" zoomScaleNormal="80" workbookViewId="0">
      <selection activeCell="C6" sqref="C6:H6"/>
    </sheetView>
  </sheetViews>
  <sheetFormatPr baseColWidth="10" defaultColWidth="14.42578125" defaultRowHeight="15" customHeight="1" x14ac:dyDescent="0.2"/>
  <cols>
    <col min="1" max="1" width="2.42578125" style="185" customWidth="1"/>
    <col min="2" max="2" width="4.42578125" style="185" customWidth="1"/>
    <col min="3" max="3" width="30" style="185" customWidth="1"/>
    <col min="4" max="4" width="21.85546875" style="185" customWidth="1"/>
    <col min="5" max="5" width="30" style="185" customWidth="1"/>
    <col min="6" max="6" width="23.42578125" style="185" customWidth="1"/>
    <col min="7" max="8" width="13.42578125" style="185" customWidth="1"/>
    <col min="9" max="9" width="14.5703125" style="185" customWidth="1"/>
    <col min="10" max="10" width="58.42578125" style="185" customWidth="1"/>
    <col min="11" max="11" width="4.28515625" style="185" customWidth="1"/>
    <col min="12" max="25" width="10.7109375" style="185" customWidth="1"/>
    <col min="26" max="16384" width="14.42578125" style="185"/>
  </cols>
  <sheetData>
    <row r="1" spans="1:25" ht="18.75" customHeight="1" x14ac:dyDescent="0.2">
      <c r="A1" s="181"/>
      <c r="B1" s="182"/>
      <c r="C1" s="182"/>
      <c r="D1" s="183"/>
      <c r="E1" s="183"/>
      <c r="F1" s="183"/>
      <c r="G1" s="183"/>
      <c r="H1" s="183"/>
      <c r="I1" s="183"/>
      <c r="J1" s="184"/>
      <c r="K1" s="181"/>
      <c r="L1" s="122"/>
      <c r="M1" s="122"/>
      <c r="N1" s="122"/>
      <c r="O1" s="122"/>
      <c r="P1" s="122"/>
      <c r="Q1" s="122"/>
      <c r="R1" s="122"/>
      <c r="S1" s="122"/>
      <c r="T1" s="122"/>
      <c r="U1" s="122"/>
      <c r="V1" s="122"/>
      <c r="W1" s="122"/>
      <c r="X1" s="122"/>
      <c r="Y1" s="122"/>
    </row>
    <row r="2" spans="1:25" ht="18.75" customHeight="1" x14ac:dyDescent="0.2">
      <c r="A2" s="181"/>
      <c r="B2" s="186"/>
      <c r="C2" s="852" t="s">
        <v>532</v>
      </c>
      <c r="D2" s="853"/>
      <c r="E2" s="853"/>
      <c r="F2" s="853"/>
      <c r="G2" s="853"/>
      <c r="H2" s="853"/>
      <c r="I2" s="853"/>
      <c r="J2" s="853"/>
      <c r="K2" s="181"/>
      <c r="L2" s="122"/>
      <c r="M2" s="122"/>
      <c r="N2" s="122"/>
      <c r="O2" s="122"/>
      <c r="P2" s="122"/>
      <c r="Q2" s="122"/>
      <c r="R2" s="122"/>
      <c r="S2" s="122"/>
      <c r="T2" s="122"/>
      <c r="U2" s="122"/>
      <c r="V2" s="122"/>
      <c r="W2" s="122"/>
      <c r="X2" s="122"/>
      <c r="Y2" s="122"/>
    </row>
    <row r="3" spans="1:25" ht="18.75" customHeight="1" x14ac:dyDescent="0.2">
      <c r="A3" s="181"/>
      <c r="B3" s="186"/>
      <c r="C3" s="181"/>
      <c r="D3" s="228"/>
      <c r="E3" s="181"/>
      <c r="F3" s="229"/>
      <c r="G3" s="230"/>
      <c r="H3" s="231"/>
      <c r="I3" s="231"/>
      <c r="J3" s="201"/>
      <c r="K3" s="181"/>
      <c r="L3" s="122"/>
      <c r="M3" s="122"/>
      <c r="N3" s="122"/>
      <c r="O3" s="122"/>
      <c r="P3" s="122"/>
      <c r="Q3" s="122"/>
      <c r="R3" s="122"/>
      <c r="S3" s="122"/>
      <c r="T3" s="122"/>
      <c r="U3" s="122"/>
      <c r="V3" s="122"/>
      <c r="W3" s="122"/>
      <c r="X3" s="122"/>
      <c r="Y3" s="122"/>
    </row>
    <row r="4" spans="1:25" ht="37.5" customHeight="1" x14ac:dyDescent="0.2">
      <c r="A4" s="181"/>
      <c r="B4" s="186"/>
      <c r="C4" s="188" t="s">
        <v>478</v>
      </c>
      <c r="D4" s="834" t="s">
        <v>533</v>
      </c>
      <c r="E4" s="833"/>
      <c r="F4" s="833"/>
      <c r="G4" s="833"/>
      <c r="H4" s="833"/>
      <c r="I4" s="833"/>
      <c r="J4" s="833"/>
      <c r="K4" s="181"/>
      <c r="L4" s="122"/>
      <c r="M4" s="122"/>
      <c r="N4" s="122"/>
      <c r="O4" s="122"/>
      <c r="P4" s="122"/>
      <c r="Q4" s="122"/>
      <c r="R4" s="122"/>
      <c r="S4" s="122"/>
      <c r="T4" s="122"/>
      <c r="U4" s="122"/>
      <c r="V4" s="122"/>
      <c r="W4" s="122"/>
      <c r="X4" s="122"/>
      <c r="Y4" s="122"/>
    </row>
    <row r="5" spans="1:25" ht="8.25" customHeight="1" x14ac:dyDescent="0.2">
      <c r="A5" s="181"/>
      <c r="B5" s="186"/>
      <c r="C5" s="193"/>
      <c r="D5" s="194"/>
      <c r="E5" s="187"/>
      <c r="F5" s="195"/>
      <c r="G5" s="195"/>
      <c r="H5" s="195"/>
      <c r="I5" s="195"/>
      <c r="J5" s="192"/>
      <c r="K5" s="181"/>
      <c r="L5" s="122"/>
      <c r="M5" s="122"/>
      <c r="N5" s="122"/>
      <c r="O5" s="122"/>
      <c r="P5" s="122"/>
      <c r="Q5" s="122"/>
      <c r="R5" s="122"/>
      <c r="S5" s="122"/>
      <c r="T5" s="122"/>
      <c r="U5" s="122"/>
      <c r="V5" s="122"/>
      <c r="W5" s="122"/>
      <c r="X5" s="122"/>
      <c r="Y5" s="122"/>
    </row>
    <row r="6" spans="1:25" ht="18" customHeight="1" x14ac:dyDescent="0.2">
      <c r="A6" s="181"/>
      <c r="B6" s="186"/>
      <c r="C6" s="188" t="s">
        <v>480</v>
      </c>
      <c r="D6" s="834">
        <v>1</v>
      </c>
      <c r="E6" s="833"/>
      <c r="F6" s="833"/>
      <c r="G6" s="833"/>
      <c r="H6" s="833"/>
      <c r="I6" s="196"/>
      <c r="J6" s="196"/>
      <c r="K6" s="181"/>
      <c r="L6" s="122"/>
      <c r="M6" s="122"/>
      <c r="N6" s="122"/>
      <c r="O6" s="122"/>
      <c r="P6" s="122"/>
      <c r="Q6" s="122"/>
      <c r="R6" s="122"/>
      <c r="S6" s="122"/>
      <c r="T6" s="122"/>
      <c r="U6" s="122"/>
      <c r="V6" s="122"/>
      <c r="W6" s="122"/>
      <c r="X6" s="122"/>
      <c r="Y6" s="122"/>
    </row>
    <row r="7" spans="1:25" ht="8.25" customHeight="1" x14ac:dyDescent="0.2">
      <c r="A7" s="181"/>
      <c r="B7" s="186"/>
      <c r="C7" s="197"/>
      <c r="D7" s="197"/>
      <c r="E7" s="197"/>
      <c r="F7" s="198"/>
      <c r="G7" s="198"/>
      <c r="H7" s="198"/>
      <c r="I7" s="198"/>
      <c r="J7" s="192"/>
      <c r="K7" s="181"/>
      <c r="L7" s="122"/>
      <c r="M7" s="122"/>
      <c r="N7" s="122"/>
      <c r="O7" s="122"/>
      <c r="P7" s="122"/>
      <c r="Q7" s="122"/>
      <c r="R7" s="122"/>
      <c r="S7" s="122"/>
      <c r="T7" s="122"/>
      <c r="U7" s="122"/>
      <c r="V7" s="122"/>
      <c r="W7" s="122"/>
      <c r="X7" s="122"/>
      <c r="Y7" s="122"/>
    </row>
    <row r="8" spans="1:25" ht="18" customHeight="1" x14ac:dyDescent="0.2">
      <c r="A8" s="181"/>
      <c r="B8" s="186"/>
      <c r="C8" s="188" t="s">
        <v>481</v>
      </c>
      <c r="D8" s="854">
        <v>44225</v>
      </c>
      <c r="E8" s="855"/>
      <c r="F8" s="855"/>
      <c r="G8" s="855"/>
      <c r="H8" s="855"/>
      <c r="I8" s="196"/>
      <c r="J8" s="196"/>
      <c r="K8" s="181"/>
      <c r="L8" s="122"/>
      <c r="M8" s="122"/>
      <c r="N8" s="122"/>
      <c r="O8" s="122"/>
      <c r="P8" s="122"/>
      <c r="Q8" s="122"/>
      <c r="R8" s="122"/>
      <c r="S8" s="122"/>
      <c r="T8" s="122"/>
      <c r="U8" s="122"/>
      <c r="V8" s="122"/>
      <c r="W8" s="122"/>
      <c r="X8" s="122"/>
      <c r="Y8" s="122"/>
    </row>
    <row r="9" spans="1:25" ht="8.25" customHeight="1" thickBot="1" x14ac:dyDescent="0.25">
      <c r="A9" s="181"/>
      <c r="B9" s="186"/>
      <c r="C9" s="199"/>
      <c r="D9" s="199"/>
      <c r="E9" s="199"/>
      <c r="F9" s="200"/>
      <c r="G9" s="200"/>
      <c r="H9" s="200"/>
      <c r="I9" s="200"/>
      <c r="J9" s="201"/>
      <c r="K9" s="181"/>
      <c r="L9" s="122"/>
      <c r="M9" s="122"/>
      <c r="N9" s="122"/>
      <c r="O9" s="122"/>
      <c r="P9" s="122"/>
      <c r="Q9" s="122"/>
      <c r="R9" s="122"/>
      <c r="S9" s="122"/>
      <c r="T9" s="122"/>
      <c r="U9" s="122"/>
      <c r="V9" s="122"/>
      <c r="W9" s="122"/>
      <c r="X9" s="122"/>
      <c r="Y9" s="122"/>
    </row>
    <row r="10" spans="1:25" ht="18" customHeight="1" x14ac:dyDescent="0.2">
      <c r="A10" s="181"/>
      <c r="B10" s="856" t="s">
        <v>357</v>
      </c>
      <c r="C10" s="857"/>
      <c r="D10" s="857"/>
      <c r="E10" s="857"/>
      <c r="F10" s="857"/>
      <c r="G10" s="857"/>
      <c r="H10" s="857"/>
      <c r="I10" s="857"/>
      <c r="J10" s="858"/>
      <c r="K10" s="181"/>
      <c r="L10" s="122"/>
      <c r="M10" s="122"/>
      <c r="N10" s="122"/>
      <c r="O10" s="122"/>
      <c r="P10" s="122"/>
      <c r="Q10" s="122"/>
      <c r="R10" s="122"/>
      <c r="S10" s="122"/>
      <c r="T10" s="122"/>
      <c r="U10" s="122"/>
      <c r="V10" s="122"/>
      <c r="W10" s="122"/>
      <c r="X10" s="122"/>
      <c r="Y10" s="122"/>
    </row>
    <row r="11" spans="1:25" ht="18" customHeight="1" x14ac:dyDescent="0.2">
      <c r="A11" s="181"/>
      <c r="B11" s="849" t="s">
        <v>358</v>
      </c>
      <c r="C11" s="840" t="s">
        <v>360</v>
      </c>
      <c r="D11" s="840" t="s">
        <v>361</v>
      </c>
      <c r="E11" s="840" t="s">
        <v>362</v>
      </c>
      <c r="F11" s="840" t="s">
        <v>363</v>
      </c>
      <c r="G11" s="840" t="s">
        <v>364</v>
      </c>
      <c r="H11" s="859"/>
      <c r="I11" s="255" t="s">
        <v>365</v>
      </c>
      <c r="J11" s="842" t="s">
        <v>29</v>
      </c>
      <c r="K11" s="181"/>
      <c r="L11" s="122"/>
      <c r="M11" s="122"/>
      <c r="N11" s="122"/>
      <c r="O11" s="122"/>
      <c r="P11" s="122"/>
      <c r="Q11" s="122"/>
      <c r="R11" s="122"/>
      <c r="S11" s="122"/>
      <c r="T11" s="122"/>
      <c r="U11" s="122"/>
      <c r="V11" s="122"/>
      <c r="W11" s="122"/>
      <c r="X11" s="122"/>
      <c r="Y11" s="122"/>
    </row>
    <row r="12" spans="1:25" ht="18" customHeight="1" thickBot="1" x14ac:dyDescent="0.25">
      <c r="A12" s="202"/>
      <c r="B12" s="861"/>
      <c r="C12" s="862"/>
      <c r="D12" s="862"/>
      <c r="E12" s="862"/>
      <c r="F12" s="862"/>
      <c r="G12" s="252" t="s">
        <v>366</v>
      </c>
      <c r="H12" s="252" t="s">
        <v>367</v>
      </c>
      <c r="I12" s="256">
        <f>SUM(I13:I16)</f>
        <v>1</v>
      </c>
      <c r="J12" s="860"/>
      <c r="K12" s="202"/>
      <c r="L12" s="225"/>
      <c r="M12" s="225"/>
      <c r="N12" s="225"/>
      <c r="O12" s="225"/>
      <c r="P12" s="225"/>
      <c r="Q12" s="225"/>
      <c r="R12" s="225"/>
      <c r="S12" s="225"/>
      <c r="T12" s="225"/>
      <c r="U12" s="225"/>
      <c r="V12" s="225"/>
      <c r="W12" s="225"/>
      <c r="X12" s="225"/>
      <c r="Y12" s="225"/>
    </row>
    <row r="13" spans="1:25" ht="43.5" customHeight="1" x14ac:dyDescent="0.2">
      <c r="A13" s="202"/>
      <c r="B13" s="203">
        <v>1</v>
      </c>
      <c r="C13" s="232" t="s">
        <v>534</v>
      </c>
      <c r="D13" s="233" t="s">
        <v>535</v>
      </c>
      <c r="E13" s="234" t="s">
        <v>553</v>
      </c>
      <c r="F13" s="235">
        <v>0.8</v>
      </c>
      <c r="G13" s="236">
        <v>44228</v>
      </c>
      <c r="H13" s="236">
        <v>44560</v>
      </c>
      <c r="I13" s="235">
        <v>0.4</v>
      </c>
      <c r="J13" s="237" t="s">
        <v>536</v>
      </c>
      <c r="K13" s="202"/>
      <c r="L13" s="225"/>
      <c r="M13" s="225"/>
      <c r="N13" s="225"/>
      <c r="O13" s="225"/>
      <c r="P13" s="225"/>
      <c r="Q13" s="225"/>
      <c r="R13" s="225"/>
      <c r="S13" s="225"/>
      <c r="T13" s="225"/>
      <c r="U13" s="225"/>
      <c r="V13" s="225"/>
      <c r="W13" s="225"/>
      <c r="X13" s="225"/>
      <c r="Y13" s="225"/>
    </row>
    <row r="14" spans="1:25" ht="43.5" customHeight="1" x14ac:dyDescent="0.2">
      <c r="A14" s="202"/>
      <c r="B14" s="208">
        <v>2</v>
      </c>
      <c r="C14" s="238" t="s">
        <v>537</v>
      </c>
      <c r="D14" s="239" t="s">
        <v>535</v>
      </c>
      <c r="E14" s="74" t="s">
        <v>538</v>
      </c>
      <c r="F14" s="71">
        <v>0.5</v>
      </c>
      <c r="G14" s="240">
        <v>44228</v>
      </c>
      <c r="H14" s="240">
        <v>44560</v>
      </c>
      <c r="I14" s="71">
        <v>0.3</v>
      </c>
      <c r="J14" s="241" t="s">
        <v>536</v>
      </c>
      <c r="K14" s="202"/>
      <c r="L14" s="225"/>
      <c r="M14" s="225"/>
      <c r="N14" s="225"/>
      <c r="O14" s="225"/>
      <c r="P14" s="225"/>
      <c r="Q14" s="225"/>
      <c r="R14" s="225"/>
      <c r="S14" s="225"/>
      <c r="T14" s="225"/>
      <c r="U14" s="225"/>
      <c r="V14" s="225"/>
      <c r="W14" s="225"/>
      <c r="X14" s="225"/>
      <c r="Y14" s="225"/>
    </row>
    <row r="15" spans="1:25" ht="43.5" customHeight="1" x14ac:dyDescent="0.2">
      <c r="A15" s="202"/>
      <c r="B15" s="208">
        <v>3</v>
      </c>
      <c r="C15" s="238" t="s">
        <v>539</v>
      </c>
      <c r="D15" s="239" t="s">
        <v>535</v>
      </c>
      <c r="E15" s="74" t="s">
        <v>554</v>
      </c>
      <c r="F15" s="64">
        <v>0.5</v>
      </c>
      <c r="G15" s="240">
        <v>44228</v>
      </c>
      <c r="H15" s="240">
        <v>44560</v>
      </c>
      <c r="I15" s="64">
        <v>0.3</v>
      </c>
      <c r="J15" s="241" t="s">
        <v>536</v>
      </c>
      <c r="K15" s="202"/>
      <c r="L15" s="225"/>
      <c r="M15" s="225"/>
      <c r="N15" s="225"/>
      <c r="O15" s="225"/>
      <c r="P15" s="225"/>
      <c r="Q15" s="225"/>
      <c r="R15" s="225"/>
      <c r="S15" s="225"/>
      <c r="T15" s="225"/>
      <c r="U15" s="225"/>
      <c r="V15" s="225"/>
      <c r="W15" s="225"/>
      <c r="X15" s="225"/>
      <c r="Y15" s="225"/>
    </row>
    <row r="16" spans="1:25" ht="22.5" customHeight="1" thickBot="1" x14ac:dyDescent="0.25">
      <c r="A16" s="202"/>
      <c r="B16" s="213"/>
      <c r="C16" s="242"/>
      <c r="D16" s="242"/>
      <c r="E16" s="214"/>
      <c r="F16" s="214"/>
      <c r="G16" s="215"/>
      <c r="H16" s="215"/>
      <c r="I16" s="215"/>
      <c r="J16" s="216"/>
      <c r="K16" s="202"/>
      <c r="L16" s="225"/>
      <c r="M16" s="225"/>
      <c r="N16" s="225"/>
      <c r="O16" s="225"/>
      <c r="P16" s="225"/>
      <c r="Q16" s="225"/>
      <c r="R16" s="225"/>
      <c r="S16" s="225"/>
      <c r="T16" s="225"/>
      <c r="U16" s="225"/>
      <c r="V16" s="225"/>
      <c r="W16" s="225"/>
      <c r="X16" s="225"/>
      <c r="Y16" s="225"/>
    </row>
    <row r="17" spans="1:25" ht="33" customHeight="1" thickBot="1" x14ac:dyDescent="0.25">
      <c r="A17" s="202"/>
      <c r="B17" s="821" t="s">
        <v>487</v>
      </c>
      <c r="C17" s="821"/>
      <c r="D17" s="821"/>
      <c r="E17" s="821"/>
      <c r="F17" s="821"/>
      <c r="G17" s="821"/>
      <c r="H17" s="821"/>
      <c r="I17" s="821"/>
      <c r="J17" s="821"/>
      <c r="K17" s="202"/>
      <c r="L17" s="225"/>
      <c r="M17" s="225"/>
      <c r="N17" s="225"/>
      <c r="O17" s="225"/>
      <c r="P17" s="225"/>
      <c r="Q17" s="225"/>
      <c r="R17" s="225"/>
      <c r="S17" s="225"/>
      <c r="T17" s="225"/>
      <c r="U17" s="225"/>
      <c r="V17" s="225"/>
      <c r="W17" s="225"/>
      <c r="X17" s="225"/>
      <c r="Y17" s="225"/>
    </row>
    <row r="18" spans="1:25" ht="21.75" customHeight="1" x14ac:dyDescent="0.2">
      <c r="A18" s="202"/>
      <c r="B18" s="217"/>
      <c r="C18" s="844" t="s">
        <v>488</v>
      </c>
      <c r="D18" s="845"/>
      <c r="E18" s="845"/>
      <c r="F18" s="846"/>
      <c r="G18" s="218"/>
      <c r="H18" s="218"/>
      <c r="I18" s="218"/>
      <c r="J18" s="219"/>
      <c r="K18" s="202"/>
      <c r="L18" s="225"/>
      <c r="M18" s="225"/>
      <c r="N18" s="225"/>
      <c r="O18" s="225"/>
      <c r="P18" s="225"/>
      <c r="Q18" s="225"/>
      <c r="R18" s="225"/>
      <c r="S18" s="225"/>
      <c r="T18" s="225"/>
      <c r="U18" s="225"/>
      <c r="V18" s="225"/>
      <c r="W18" s="225"/>
      <c r="X18" s="225"/>
      <c r="Y18" s="225"/>
    </row>
    <row r="19" spans="1:25" ht="21.75" customHeight="1" x14ac:dyDescent="0.2">
      <c r="A19" s="202"/>
      <c r="B19" s="217"/>
      <c r="C19" s="253" t="s">
        <v>355</v>
      </c>
      <c r="D19" s="847" t="s">
        <v>489</v>
      </c>
      <c r="E19" s="848"/>
      <c r="F19" s="254" t="s">
        <v>490</v>
      </c>
      <c r="G19" s="218"/>
      <c r="H19" s="218"/>
      <c r="I19" s="218"/>
      <c r="J19" s="219"/>
      <c r="K19" s="202"/>
      <c r="L19" s="225"/>
      <c r="M19" s="225"/>
      <c r="N19" s="225"/>
      <c r="O19" s="225"/>
      <c r="P19" s="225"/>
      <c r="Q19" s="225"/>
      <c r="R19" s="225"/>
      <c r="S19" s="225"/>
      <c r="T19" s="225"/>
      <c r="U19" s="225"/>
      <c r="V19" s="225"/>
      <c r="W19" s="225"/>
      <c r="X19" s="225"/>
      <c r="Y19" s="225"/>
    </row>
    <row r="20" spans="1:25" ht="28.5" customHeight="1" x14ac:dyDescent="0.2">
      <c r="A20" s="202"/>
      <c r="B20" s="217"/>
      <c r="C20" s="163">
        <v>1</v>
      </c>
      <c r="D20" s="826" t="s">
        <v>491</v>
      </c>
      <c r="E20" s="827"/>
      <c r="F20" s="164">
        <v>44225</v>
      </c>
      <c r="G20" s="218"/>
      <c r="H20" s="218"/>
      <c r="I20" s="218"/>
      <c r="J20" s="219"/>
      <c r="K20" s="202"/>
      <c r="L20" s="225"/>
      <c r="M20" s="225"/>
      <c r="N20" s="225"/>
      <c r="O20" s="225"/>
      <c r="P20" s="225"/>
      <c r="Q20" s="225"/>
      <c r="R20" s="225"/>
      <c r="S20" s="225"/>
      <c r="T20" s="225"/>
      <c r="U20" s="225"/>
      <c r="V20" s="225"/>
      <c r="W20" s="225"/>
      <c r="X20" s="225"/>
      <c r="Y20" s="225"/>
    </row>
    <row r="21" spans="1:25" ht="28.5" customHeight="1" thickBot="1" x14ac:dyDescent="0.25">
      <c r="A21" s="202"/>
      <c r="B21" s="217"/>
      <c r="C21" s="220"/>
      <c r="D21" s="838"/>
      <c r="E21" s="839"/>
      <c r="F21" s="221"/>
      <c r="G21" s="218"/>
      <c r="H21" s="218"/>
      <c r="I21" s="218"/>
      <c r="J21" s="219"/>
      <c r="K21" s="202"/>
      <c r="L21" s="225"/>
      <c r="M21" s="225"/>
      <c r="N21" s="225"/>
      <c r="O21" s="225"/>
      <c r="P21" s="225"/>
      <c r="Q21" s="225"/>
      <c r="R21" s="225"/>
      <c r="S21" s="225"/>
      <c r="T21" s="225"/>
      <c r="U21" s="225"/>
      <c r="V21" s="225"/>
      <c r="W21" s="225"/>
      <c r="X21" s="225"/>
      <c r="Y21" s="225"/>
    </row>
    <row r="22" spans="1:25" ht="33" customHeight="1" x14ac:dyDescent="0.2">
      <c r="A22" s="202"/>
      <c r="B22" s="217"/>
      <c r="C22" s="219"/>
      <c r="D22" s="219"/>
      <c r="E22" s="217"/>
      <c r="F22" s="217"/>
      <c r="G22" s="218"/>
      <c r="H22" s="218"/>
      <c r="I22" s="218"/>
      <c r="J22" s="219"/>
      <c r="K22" s="202"/>
      <c r="L22" s="225"/>
      <c r="M22" s="225"/>
      <c r="N22" s="225"/>
      <c r="O22" s="225"/>
      <c r="P22" s="225"/>
      <c r="Q22" s="225"/>
      <c r="R22" s="225"/>
      <c r="S22" s="225"/>
      <c r="T22" s="225"/>
      <c r="U22" s="225"/>
      <c r="V22" s="225"/>
      <c r="W22" s="225"/>
      <c r="X22" s="225"/>
      <c r="Y22" s="225"/>
    </row>
    <row r="23" spans="1:25" ht="33" customHeight="1" x14ac:dyDescent="0.2">
      <c r="A23" s="202"/>
      <c r="B23" s="217"/>
      <c r="C23" s="219"/>
      <c r="D23" s="219"/>
      <c r="E23" s="217"/>
      <c r="F23" s="217"/>
      <c r="G23" s="218"/>
      <c r="H23" s="218"/>
      <c r="I23" s="218"/>
      <c r="J23" s="219"/>
      <c r="K23" s="202"/>
      <c r="L23" s="225"/>
      <c r="M23" s="225"/>
      <c r="N23" s="225"/>
      <c r="O23" s="225"/>
      <c r="P23" s="225"/>
      <c r="Q23" s="225"/>
      <c r="R23" s="225"/>
      <c r="S23" s="225"/>
      <c r="T23" s="225"/>
      <c r="U23" s="225"/>
      <c r="V23" s="225"/>
      <c r="W23" s="225"/>
      <c r="X23" s="225"/>
      <c r="Y23" s="225"/>
    </row>
    <row r="24" spans="1:25" ht="33" customHeight="1" x14ac:dyDescent="0.2">
      <c r="A24" s="202"/>
      <c r="B24" s="217"/>
      <c r="C24" s="219"/>
      <c r="D24" s="219"/>
      <c r="E24" s="217"/>
      <c r="F24" s="217"/>
      <c r="G24" s="218"/>
      <c r="H24" s="218"/>
      <c r="I24" s="218"/>
      <c r="J24" s="219"/>
      <c r="K24" s="202"/>
      <c r="L24" s="225"/>
      <c r="M24" s="225"/>
      <c r="N24" s="225"/>
      <c r="O24" s="225"/>
      <c r="P24" s="225"/>
      <c r="Q24" s="225"/>
      <c r="R24" s="225"/>
      <c r="S24" s="225"/>
      <c r="T24" s="225"/>
      <c r="U24" s="225"/>
      <c r="V24" s="225"/>
      <c r="W24" s="225"/>
      <c r="X24" s="225"/>
      <c r="Y24" s="225"/>
    </row>
    <row r="25" spans="1:25" ht="33" customHeight="1" x14ac:dyDescent="0.2">
      <c r="A25" s="202"/>
      <c r="B25" s="217"/>
      <c r="C25" s="219"/>
      <c r="D25" s="219"/>
      <c r="E25" s="217"/>
      <c r="F25" s="217"/>
      <c r="G25" s="218"/>
      <c r="H25" s="218"/>
      <c r="I25" s="218"/>
      <c r="J25" s="219"/>
      <c r="K25" s="202"/>
      <c r="L25" s="225"/>
      <c r="M25" s="225"/>
      <c r="N25" s="225"/>
      <c r="O25" s="225"/>
      <c r="P25" s="225"/>
      <c r="Q25" s="225"/>
      <c r="R25" s="225"/>
      <c r="S25" s="225"/>
      <c r="T25" s="225"/>
      <c r="U25" s="225"/>
      <c r="V25" s="225"/>
      <c r="W25" s="225"/>
      <c r="X25" s="225"/>
      <c r="Y25" s="225"/>
    </row>
    <row r="26" spans="1:25" ht="6.75" customHeight="1" x14ac:dyDescent="0.2">
      <c r="A26" s="202"/>
      <c r="B26" s="222"/>
      <c r="C26" s="219"/>
      <c r="D26" s="219"/>
      <c r="E26" s="217"/>
      <c r="F26" s="217"/>
      <c r="G26" s="222"/>
      <c r="H26" s="222"/>
      <c r="I26" s="222"/>
      <c r="J26" s="219"/>
      <c r="K26" s="202"/>
      <c r="L26" s="225"/>
      <c r="M26" s="225"/>
      <c r="N26" s="225"/>
      <c r="O26" s="225"/>
      <c r="P26" s="225"/>
      <c r="Q26" s="225"/>
      <c r="R26" s="225"/>
      <c r="S26" s="225"/>
      <c r="T26" s="225"/>
      <c r="U26" s="225"/>
      <c r="V26" s="225"/>
      <c r="W26" s="225"/>
      <c r="X26" s="225"/>
      <c r="Y26" s="225"/>
    </row>
    <row r="27" spans="1:25" ht="42.75" customHeight="1" x14ac:dyDescent="0.2">
      <c r="A27" s="181"/>
      <c r="B27" s="169"/>
      <c r="C27" s="223"/>
      <c r="D27" s="223"/>
      <c r="E27" s="224"/>
      <c r="F27" s="224"/>
      <c r="G27" s="225"/>
      <c r="H27" s="225"/>
      <c r="I27" s="225"/>
      <c r="J27" s="173"/>
      <c r="K27" s="181"/>
      <c r="L27" s="122"/>
      <c r="M27" s="122"/>
      <c r="N27" s="122"/>
      <c r="O27" s="122"/>
      <c r="P27" s="122"/>
      <c r="Q27" s="122"/>
      <c r="R27" s="122"/>
      <c r="S27" s="122"/>
      <c r="T27" s="122"/>
      <c r="U27" s="122"/>
      <c r="V27" s="122"/>
      <c r="W27" s="122"/>
      <c r="X27" s="122"/>
      <c r="Y27" s="122"/>
    </row>
    <row r="28" spans="1:25" ht="16.5" customHeight="1" x14ac:dyDescent="0.2">
      <c r="A28" s="181"/>
      <c r="B28" s="174"/>
      <c r="C28" s="122"/>
      <c r="D28" s="122"/>
      <c r="E28" s="122"/>
      <c r="F28" s="122"/>
      <c r="G28" s="122"/>
      <c r="H28" s="122"/>
      <c r="I28" s="122"/>
      <c r="J28" s="173"/>
      <c r="K28" s="181"/>
      <c r="L28" s="122"/>
      <c r="M28" s="122"/>
      <c r="N28" s="122"/>
      <c r="O28" s="122"/>
      <c r="P28" s="122"/>
      <c r="Q28" s="122"/>
      <c r="R28" s="122"/>
      <c r="S28" s="122"/>
      <c r="T28" s="122"/>
      <c r="U28" s="122"/>
      <c r="V28" s="122"/>
      <c r="W28" s="122"/>
      <c r="X28" s="122"/>
      <c r="Y28" s="122"/>
    </row>
    <row r="29" spans="1:25" ht="16.5" customHeight="1" x14ac:dyDescent="0.2">
      <c r="A29" s="181"/>
      <c r="B29" s="174"/>
      <c r="C29" s="175"/>
      <c r="D29" s="175"/>
      <c r="E29" s="175"/>
      <c r="F29" s="122"/>
      <c r="G29" s="122"/>
      <c r="H29" s="122"/>
      <c r="I29" s="122"/>
      <c r="J29" s="173"/>
      <c r="K29" s="181"/>
      <c r="L29" s="122"/>
      <c r="M29" s="122"/>
      <c r="N29" s="122"/>
      <c r="O29" s="122"/>
      <c r="P29" s="122"/>
      <c r="Q29" s="122"/>
      <c r="R29" s="122"/>
      <c r="S29" s="122"/>
      <c r="T29" s="122"/>
      <c r="U29" s="122"/>
      <c r="V29" s="122"/>
      <c r="W29" s="122"/>
      <c r="X29" s="122"/>
      <c r="Y29" s="122"/>
    </row>
    <row r="30" spans="1:25" ht="16.5" customHeight="1" x14ac:dyDescent="0.2">
      <c r="A30" s="181"/>
      <c r="B30" s="174"/>
      <c r="C30" s="175"/>
      <c r="D30" s="175"/>
      <c r="E30" s="175"/>
      <c r="F30" s="122"/>
      <c r="G30" s="122"/>
      <c r="H30" s="122"/>
      <c r="I30" s="122"/>
      <c r="J30" s="173"/>
      <c r="K30" s="181"/>
      <c r="L30" s="122"/>
      <c r="M30" s="122"/>
      <c r="N30" s="122"/>
      <c r="O30" s="122"/>
      <c r="P30" s="122"/>
      <c r="Q30" s="122"/>
      <c r="R30" s="122"/>
      <c r="S30" s="122"/>
      <c r="T30" s="122"/>
      <c r="U30" s="122"/>
      <c r="V30" s="122"/>
      <c r="W30" s="122"/>
      <c r="X30" s="122"/>
      <c r="Y30" s="122"/>
    </row>
    <row r="31" spans="1:25" ht="16.5" customHeight="1" x14ac:dyDescent="0.2">
      <c r="A31" s="181"/>
      <c r="B31" s="174"/>
      <c r="C31" s="175"/>
      <c r="D31" s="175"/>
      <c r="E31" s="175"/>
      <c r="F31" s="122"/>
      <c r="G31" s="122"/>
      <c r="H31" s="122"/>
      <c r="I31" s="122"/>
      <c r="J31" s="173"/>
      <c r="K31" s="181"/>
      <c r="L31" s="122"/>
      <c r="M31" s="122"/>
      <c r="N31" s="122"/>
      <c r="O31" s="122"/>
      <c r="P31" s="122"/>
      <c r="Q31" s="122"/>
      <c r="R31" s="122"/>
      <c r="S31" s="122"/>
      <c r="T31" s="122"/>
      <c r="U31" s="122"/>
      <c r="V31" s="122"/>
      <c r="W31" s="122"/>
      <c r="X31" s="122"/>
      <c r="Y31" s="122"/>
    </row>
    <row r="32" spans="1:25" ht="16.5" customHeight="1" x14ac:dyDescent="0.2">
      <c r="A32" s="181"/>
      <c r="B32" s="174"/>
      <c r="C32" s="175"/>
      <c r="D32" s="175"/>
      <c r="E32" s="175"/>
      <c r="F32" s="122"/>
      <c r="G32" s="122"/>
      <c r="H32" s="122"/>
      <c r="I32" s="122"/>
      <c r="J32" s="173"/>
      <c r="K32" s="181"/>
      <c r="L32" s="122"/>
      <c r="M32" s="122"/>
      <c r="N32" s="122"/>
      <c r="O32" s="122"/>
      <c r="P32" s="122"/>
      <c r="Q32" s="122"/>
      <c r="R32" s="122"/>
      <c r="S32" s="122"/>
      <c r="T32" s="122"/>
      <c r="U32" s="122"/>
      <c r="V32" s="122"/>
      <c r="W32" s="122"/>
      <c r="X32" s="122"/>
      <c r="Y32" s="122"/>
    </row>
    <row r="33" spans="1:25" ht="16.5" customHeight="1" x14ac:dyDescent="0.2">
      <c r="A33" s="181"/>
      <c r="B33" s="174"/>
      <c r="C33" s="175"/>
      <c r="D33" s="175"/>
      <c r="E33" s="175"/>
      <c r="F33" s="122"/>
      <c r="G33" s="122"/>
      <c r="H33" s="122"/>
      <c r="I33" s="122"/>
      <c r="J33" s="173"/>
      <c r="K33" s="181"/>
      <c r="L33" s="122"/>
      <c r="M33" s="122"/>
      <c r="N33" s="122"/>
      <c r="O33" s="122"/>
      <c r="P33" s="122"/>
      <c r="Q33" s="122"/>
      <c r="R33" s="122"/>
      <c r="S33" s="122"/>
      <c r="T33" s="122"/>
      <c r="U33" s="122"/>
      <c r="V33" s="122"/>
      <c r="W33" s="122"/>
      <c r="X33" s="122"/>
      <c r="Y33" s="122"/>
    </row>
    <row r="34" spans="1:25" ht="16.5" customHeight="1" x14ac:dyDescent="0.2">
      <c r="A34" s="181"/>
      <c r="B34" s="174"/>
      <c r="C34" s="175"/>
      <c r="D34" s="175"/>
      <c r="E34" s="175"/>
      <c r="F34" s="122"/>
      <c r="G34" s="122"/>
      <c r="H34" s="122"/>
      <c r="I34" s="122"/>
      <c r="J34" s="173"/>
      <c r="K34" s="181"/>
      <c r="L34" s="122"/>
      <c r="M34" s="122"/>
      <c r="N34" s="122"/>
      <c r="O34" s="122"/>
      <c r="P34" s="122"/>
      <c r="Q34" s="122"/>
      <c r="R34" s="122"/>
      <c r="S34" s="122"/>
      <c r="T34" s="122"/>
      <c r="U34" s="122"/>
      <c r="V34" s="122"/>
      <c r="W34" s="122"/>
      <c r="X34" s="122"/>
      <c r="Y34" s="122"/>
    </row>
    <row r="35" spans="1:25" ht="16.5" customHeight="1" x14ac:dyDescent="0.2">
      <c r="A35" s="181"/>
      <c r="B35" s="174"/>
      <c r="C35" s="175"/>
      <c r="D35" s="175"/>
      <c r="E35" s="175"/>
      <c r="F35" s="122"/>
      <c r="G35" s="122"/>
      <c r="H35" s="122"/>
      <c r="I35" s="122"/>
      <c r="J35" s="173"/>
      <c r="K35" s="181"/>
      <c r="L35" s="122"/>
      <c r="M35" s="122"/>
      <c r="N35" s="122"/>
      <c r="O35" s="122"/>
      <c r="P35" s="122"/>
      <c r="Q35" s="122"/>
      <c r="R35" s="122"/>
      <c r="S35" s="122"/>
      <c r="T35" s="122"/>
      <c r="U35" s="122"/>
      <c r="V35" s="122"/>
      <c r="W35" s="122"/>
      <c r="X35" s="122"/>
      <c r="Y35" s="122"/>
    </row>
    <row r="36" spans="1:25" ht="16.5" customHeight="1" x14ac:dyDescent="0.2">
      <c r="A36" s="181"/>
      <c r="B36" s="174"/>
      <c r="C36" s="175"/>
      <c r="D36" s="175"/>
      <c r="E36" s="175"/>
      <c r="F36" s="122"/>
      <c r="G36" s="122"/>
      <c r="H36" s="122"/>
      <c r="I36" s="122"/>
      <c r="J36" s="173"/>
      <c r="K36" s="181"/>
      <c r="L36" s="122"/>
      <c r="M36" s="122"/>
      <c r="N36" s="122"/>
      <c r="O36" s="122"/>
      <c r="P36" s="122"/>
      <c r="Q36" s="122"/>
      <c r="R36" s="122"/>
      <c r="S36" s="122"/>
      <c r="T36" s="122"/>
      <c r="U36" s="122"/>
      <c r="V36" s="122"/>
      <c r="W36" s="122"/>
      <c r="X36" s="122"/>
      <c r="Y36" s="122"/>
    </row>
    <row r="37" spans="1:25" ht="16.5" customHeight="1" x14ac:dyDescent="0.2">
      <c r="A37" s="181"/>
      <c r="B37" s="174"/>
      <c r="C37" s="175"/>
      <c r="D37" s="175"/>
      <c r="E37" s="175"/>
      <c r="F37" s="122"/>
      <c r="G37" s="122"/>
      <c r="H37" s="122"/>
      <c r="I37" s="122"/>
      <c r="J37" s="173"/>
      <c r="K37" s="181"/>
      <c r="L37" s="122"/>
      <c r="M37" s="122"/>
      <c r="N37" s="122"/>
      <c r="O37" s="122"/>
      <c r="P37" s="122"/>
      <c r="Q37" s="122"/>
      <c r="R37" s="122"/>
      <c r="S37" s="122"/>
      <c r="T37" s="122"/>
      <c r="U37" s="122"/>
      <c r="V37" s="122"/>
      <c r="W37" s="122"/>
      <c r="X37" s="122"/>
      <c r="Y37" s="122"/>
    </row>
    <row r="38" spans="1:25" ht="16.5" customHeight="1" x14ac:dyDescent="0.2">
      <c r="A38" s="181"/>
      <c r="B38" s="174"/>
      <c r="C38" s="175"/>
      <c r="D38" s="175"/>
      <c r="E38" s="175"/>
      <c r="F38" s="122"/>
      <c r="G38" s="122"/>
      <c r="H38" s="122"/>
      <c r="I38" s="122"/>
      <c r="J38" s="173"/>
      <c r="K38" s="181"/>
      <c r="L38" s="122"/>
      <c r="M38" s="122"/>
      <c r="N38" s="122"/>
      <c r="O38" s="122"/>
      <c r="P38" s="122"/>
      <c r="Q38" s="122"/>
      <c r="R38" s="122"/>
      <c r="S38" s="122"/>
      <c r="T38" s="122"/>
      <c r="U38" s="122"/>
      <c r="V38" s="122"/>
      <c r="W38" s="122"/>
      <c r="X38" s="122"/>
      <c r="Y38" s="122"/>
    </row>
    <row r="39" spans="1:25" ht="16.5" customHeight="1" x14ac:dyDescent="0.2">
      <c r="A39" s="181"/>
      <c r="B39" s="174"/>
      <c r="C39" s="175"/>
      <c r="D39" s="175"/>
      <c r="E39" s="175"/>
      <c r="F39" s="122"/>
      <c r="G39" s="122"/>
      <c r="H39" s="122"/>
      <c r="I39" s="122"/>
      <c r="J39" s="173"/>
      <c r="K39" s="181"/>
      <c r="L39" s="122"/>
      <c r="M39" s="122"/>
      <c r="N39" s="122"/>
      <c r="O39" s="122"/>
      <c r="P39" s="122"/>
      <c r="Q39" s="122"/>
      <c r="R39" s="122"/>
      <c r="S39" s="122"/>
      <c r="T39" s="122"/>
      <c r="U39" s="122"/>
      <c r="V39" s="122"/>
      <c r="W39" s="122"/>
      <c r="X39" s="122"/>
      <c r="Y39" s="122"/>
    </row>
    <row r="40" spans="1:25" ht="16.5" customHeight="1" x14ac:dyDescent="0.2">
      <c r="A40" s="181"/>
      <c r="B40" s="174"/>
      <c r="C40" s="175"/>
      <c r="D40" s="175"/>
      <c r="E40" s="175"/>
      <c r="F40" s="122"/>
      <c r="G40" s="122"/>
      <c r="H40" s="122"/>
      <c r="I40" s="122"/>
      <c r="J40" s="173"/>
      <c r="K40" s="181"/>
      <c r="L40" s="122"/>
      <c r="M40" s="122"/>
      <c r="N40" s="122"/>
      <c r="O40" s="122"/>
      <c r="P40" s="122"/>
      <c r="Q40" s="122"/>
      <c r="R40" s="122"/>
      <c r="S40" s="122"/>
      <c r="T40" s="122"/>
      <c r="U40" s="122"/>
      <c r="V40" s="122"/>
      <c r="W40" s="122"/>
      <c r="X40" s="122"/>
      <c r="Y40" s="122"/>
    </row>
    <row r="41" spans="1:25" ht="16.5" customHeight="1" x14ac:dyDescent="0.2">
      <c r="A41" s="181"/>
      <c r="B41" s="174"/>
      <c r="C41" s="175"/>
      <c r="D41" s="175"/>
      <c r="E41" s="175"/>
      <c r="F41" s="122"/>
      <c r="G41" s="122"/>
      <c r="H41" s="122"/>
      <c r="I41" s="122"/>
      <c r="J41" s="173"/>
      <c r="K41" s="181"/>
      <c r="L41" s="122"/>
      <c r="M41" s="122"/>
      <c r="N41" s="122"/>
      <c r="O41" s="122"/>
      <c r="P41" s="122"/>
      <c r="Q41" s="122"/>
      <c r="R41" s="122"/>
      <c r="S41" s="122"/>
      <c r="T41" s="122"/>
      <c r="U41" s="122"/>
      <c r="V41" s="122"/>
      <c r="W41" s="122"/>
      <c r="X41" s="122"/>
      <c r="Y41" s="122"/>
    </row>
    <row r="42" spans="1:25" ht="16.5" customHeight="1" x14ac:dyDescent="0.2">
      <c r="A42" s="181"/>
      <c r="B42" s="174"/>
      <c r="C42" s="175"/>
      <c r="D42" s="175"/>
      <c r="E42" s="175"/>
      <c r="F42" s="122"/>
      <c r="G42" s="122"/>
      <c r="H42" s="122"/>
      <c r="I42" s="122"/>
      <c r="J42" s="173"/>
      <c r="K42" s="181"/>
      <c r="L42" s="122"/>
      <c r="M42" s="122"/>
      <c r="N42" s="122"/>
      <c r="O42" s="122"/>
      <c r="P42" s="122"/>
      <c r="Q42" s="122"/>
      <c r="R42" s="122"/>
      <c r="S42" s="122"/>
      <c r="T42" s="122"/>
      <c r="U42" s="122"/>
      <c r="V42" s="122"/>
      <c r="W42" s="122"/>
      <c r="X42" s="122"/>
      <c r="Y42" s="122"/>
    </row>
    <row r="43" spans="1:25" ht="16.5" customHeight="1" x14ac:dyDescent="0.2">
      <c r="A43" s="181"/>
      <c r="B43" s="174"/>
      <c r="C43" s="175"/>
      <c r="D43" s="175"/>
      <c r="E43" s="175"/>
      <c r="F43" s="122"/>
      <c r="G43" s="122"/>
      <c r="H43" s="122"/>
      <c r="I43" s="122"/>
      <c r="J43" s="173"/>
      <c r="K43" s="181"/>
      <c r="L43" s="122"/>
      <c r="M43" s="122"/>
      <c r="N43" s="122"/>
      <c r="O43" s="122"/>
      <c r="P43" s="122"/>
      <c r="Q43" s="122"/>
      <c r="R43" s="122"/>
      <c r="S43" s="122"/>
      <c r="T43" s="122"/>
      <c r="U43" s="122"/>
      <c r="V43" s="122"/>
      <c r="W43" s="122"/>
      <c r="X43" s="122"/>
      <c r="Y43" s="122"/>
    </row>
    <row r="44" spans="1:25" ht="16.5" customHeight="1" x14ac:dyDescent="0.2">
      <c r="A44" s="181"/>
      <c r="B44" s="174"/>
      <c r="C44" s="175"/>
      <c r="D44" s="175"/>
      <c r="E44" s="175"/>
      <c r="F44" s="122"/>
      <c r="G44" s="122"/>
      <c r="H44" s="122"/>
      <c r="I44" s="122"/>
      <c r="J44" s="173"/>
      <c r="K44" s="181"/>
      <c r="L44" s="122"/>
      <c r="M44" s="122"/>
      <c r="N44" s="122"/>
      <c r="O44" s="122"/>
      <c r="P44" s="122"/>
      <c r="Q44" s="122"/>
      <c r="R44" s="122"/>
      <c r="S44" s="122"/>
      <c r="T44" s="122"/>
      <c r="U44" s="122"/>
      <c r="V44" s="122"/>
      <c r="W44" s="122"/>
      <c r="X44" s="122"/>
      <c r="Y44" s="122"/>
    </row>
    <row r="45" spans="1:25" ht="16.5" customHeight="1" x14ac:dyDescent="0.2">
      <c r="A45" s="181"/>
      <c r="B45" s="174"/>
      <c r="C45" s="175"/>
      <c r="D45" s="175"/>
      <c r="E45" s="175"/>
      <c r="F45" s="122"/>
      <c r="G45" s="122"/>
      <c r="H45" s="122"/>
      <c r="I45" s="122"/>
      <c r="J45" s="173"/>
      <c r="K45" s="181"/>
      <c r="L45" s="122"/>
      <c r="M45" s="122"/>
      <c r="N45" s="122"/>
      <c r="O45" s="122"/>
      <c r="P45" s="122"/>
      <c r="Q45" s="122"/>
      <c r="R45" s="122"/>
      <c r="S45" s="122"/>
      <c r="T45" s="122"/>
      <c r="U45" s="122"/>
      <c r="V45" s="122"/>
      <c r="W45" s="122"/>
      <c r="X45" s="122"/>
      <c r="Y45" s="122"/>
    </row>
    <row r="46" spans="1:25" ht="16.5" customHeight="1" x14ac:dyDescent="0.2">
      <c r="A46" s="181"/>
      <c r="B46" s="174"/>
      <c r="C46" s="175"/>
      <c r="D46" s="175"/>
      <c r="E46" s="175"/>
      <c r="F46" s="122"/>
      <c r="G46" s="122"/>
      <c r="H46" s="122"/>
      <c r="I46" s="122"/>
      <c r="J46" s="173"/>
      <c r="K46" s="181"/>
      <c r="L46" s="122"/>
      <c r="M46" s="122"/>
      <c r="N46" s="122"/>
      <c r="O46" s="122"/>
      <c r="P46" s="122"/>
      <c r="Q46" s="122"/>
      <c r="R46" s="122"/>
      <c r="S46" s="122"/>
      <c r="T46" s="122"/>
      <c r="U46" s="122"/>
      <c r="V46" s="122"/>
      <c r="W46" s="122"/>
      <c r="X46" s="122"/>
      <c r="Y46" s="122"/>
    </row>
    <row r="47" spans="1:25" ht="16.5" customHeight="1" x14ac:dyDescent="0.2">
      <c r="A47" s="181"/>
      <c r="B47" s="174"/>
      <c r="C47" s="175"/>
      <c r="D47" s="175"/>
      <c r="E47" s="175"/>
      <c r="F47" s="122"/>
      <c r="G47" s="122"/>
      <c r="H47" s="122"/>
      <c r="I47" s="122"/>
      <c r="J47" s="173"/>
      <c r="K47" s="181"/>
      <c r="L47" s="122"/>
      <c r="M47" s="122"/>
      <c r="N47" s="122"/>
      <c r="O47" s="122"/>
      <c r="P47" s="122"/>
      <c r="Q47" s="122"/>
      <c r="R47" s="122"/>
      <c r="S47" s="122"/>
      <c r="T47" s="122"/>
      <c r="U47" s="122"/>
      <c r="V47" s="122"/>
      <c r="W47" s="122"/>
      <c r="X47" s="122"/>
      <c r="Y47" s="122"/>
    </row>
    <row r="48" spans="1:25" ht="16.5" customHeight="1" x14ac:dyDescent="0.2">
      <c r="A48" s="181"/>
      <c r="B48" s="174"/>
      <c r="C48" s="175"/>
      <c r="D48" s="175"/>
      <c r="E48" s="175"/>
      <c r="F48" s="122"/>
      <c r="G48" s="122"/>
      <c r="H48" s="122"/>
      <c r="I48" s="122"/>
      <c r="J48" s="173"/>
      <c r="K48" s="181"/>
      <c r="L48" s="122"/>
      <c r="M48" s="122"/>
      <c r="N48" s="122"/>
      <c r="O48" s="122"/>
      <c r="P48" s="122"/>
      <c r="Q48" s="122"/>
      <c r="R48" s="122"/>
      <c r="S48" s="122"/>
      <c r="T48" s="122"/>
      <c r="U48" s="122"/>
      <c r="V48" s="122"/>
      <c r="W48" s="122"/>
      <c r="X48" s="122"/>
      <c r="Y48" s="122"/>
    </row>
    <row r="49" spans="1:25" ht="16.5" customHeight="1" x14ac:dyDescent="0.2">
      <c r="A49" s="181"/>
      <c r="B49" s="174"/>
      <c r="C49" s="175"/>
      <c r="D49" s="175"/>
      <c r="E49" s="175"/>
      <c r="F49" s="122"/>
      <c r="G49" s="122"/>
      <c r="H49" s="122"/>
      <c r="I49" s="122"/>
      <c r="J49" s="173"/>
      <c r="K49" s="181"/>
      <c r="L49" s="122"/>
      <c r="M49" s="122"/>
      <c r="N49" s="122"/>
      <c r="O49" s="122"/>
      <c r="P49" s="122"/>
      <c r="Q49" s="122"/>
      <c r="R49" s="122"/>
      <c r="S49" s="122"/>
      <c r="T49" s="122"/>
      <c r="U49" s="122"/>
      <c r="V49" s="122"/>
      <c r="W49" s="122"/>
      <c r="X49" s="122"/>
      <c r="Y49" s="122"/>
    </row>
    <row r="50" spans="1:25" ht="16.5" customHeight="1" x14ac:dyDescent="0.2">
      <c r="A50" s="181"/>
      <c r="B50" s="174"/>
      <c r="C50" s="175"/>
      <c r="D50" s="175"/>
      <c r="E50" s="175"/>
      <c r="F50" s="122"/>
      <c r="G50" s="122"/>
      <c r="H50" s="122"/>
      <c r="I50" s="122"/>
      <c r="J50" s="173"/>
      <c r="K50" s="181"/>
      <c r="L50" s="122"/>
      <c r="M50" s="122"/>
      <c r="N50" s="122"/>
      <c r="O50" s="122"/>
      <c r="P50" s="122"/>
      <c r="Q50" s="122"/>
      <c r="R50" s="122"/>
      <c r="S50" s="122"/>
      <c r="T50" s="122"/>
      <c r="U50" s="122"/>
      <c r="V50" s="122"/>
      <c r="W50" s="122"/>
      <c r="X50" s="122"/>
      <c r="Y50" s="122"/>
    </row>
    <row r="51" spans="1:25" ht="16.5" customHeight="1" x14ac:dyDescent="0.2">
      <c r="A51" s="181"/>
      <c r="B51" s="174"/>
      <c r="C51" s="175"/>
      <c r="D51" s="175"/>
      <c r="E51" s="175"/>
      <c r="F51" s="122"/>
      <c r="G51" s="122"/>
      <c r="H51" s="122"/>
      <c r="I51" s="122"/>
      <c r="J51" s="173"/>
      <c r="K51" s="181"/>
      <c r="L51" s="122"/>
      <c r="M51" s="122"/>
      <c r="N51" s="122"/>
      <c r="O51" s="122"/>
      <c r="P51" s="122"/>
      <c r="Q51" s="122"/>
      <c r="R51" s="122"/>
      <c r="S51" s="122"/>
      <c r="T51" s="122"/>
      <c r="U51" s="122"/>
      <c r="V51" s="122"/>
      <c r="W51" s="122"/>
      <c r="X51" s="122"/>
      <c r="Y51" s="122"/>
    </row>
    <row r="52" spans="1:25" ht="16.5" customHeight="1" x14ac:dyDescent="0.2">
      <c r="A52" s="181"/>
      <c r="B52" s="174"/>
      <c r="C52" s="175"/>
      <c r="D52" s="175"/>
      <c r="E52" s="175"/>
      <c r="F52" s="122"/>
      <c r="G52" s="122"/>
      <c r="H52" s="122"/>
      <c r="I52" s="122"/>
      <c r="J52" s="173"/>
      <c r="K52" s="181"/>
      <c r="L52" s="122"/>
      <c r="M52" s="122"/>
      <c r="N52" s="122"/>
      <c r="O52" s="122"/>
      <c r="P52" s="122"/>
      <c r="Q52" s="122"/>
      <c r="R52" s="122"/>
      <c r="S52" s="122"/>
      <c r="T52" s="122"/>
      <c r="U52" s="122"/>
      <c r="V52" s="122"/>
      <c r="W52" s="122"/>
      <c r="X52" s="122"/>
      <c r="Y52" s="122"/>
    </row>
    <row r="53" spans="1:25" ht="16.5" customHeight="1" x14ac:dyDescent="0.2">
      <c r="A53" s="181"/>
      <c r="B53" s="174"/>
      <c r="C53" s="175"/>
      <c r="D53" s="175"/>
      <c r="E53" s="175"/>
      <c r="F53" s="122"/>
      <c r="G53" s="122"/>
      <c r="H53" s="122"/>
      <c r="I53" s="122"/>
      <c r="J53" s="173"/>
      <c r="K53" s="181"/>
      <c r="L53" s="122"/>
      <c r="M53" s="122"/>
      <c r="N53" s="122"/>
      <c r="O53" s="122"/>
      <c r="P53" s="122"/>
      <c r="Q53" s="122"/>
      <c r="R53" s="122"/>
      <c r="S53" s="122"/>
      <c r="T53" s="122"/>
      <c r="U53" s="122"/>
      <c r="V53" s="122"/>
      <c r="W53" s="122"/>
      <c r="X53" s="122"/>
      <c r="Y53" s="122"/>
    </row>
    <row r="54" spans="1:25" ht="16.5" customHeight="1" x14ac:dyDescent="0.2">
      <c r="A54" s="181"/>
      <c r="B54" s="174"/>
      <c r="C54" s="175"/>
      <c r="D54" s="175"/>
      <c r="E54" s="175"/>
      <c r="F54" s="122"/>
      <c r="G54" s="122"/>
      <c r="H54" s="122"/>
      <c r="I54" s="122"/>
      <c r="J54" s="173"/>
      <c r="K54" s="181"/>
      <c r="L54" s="122"/>
      <c r="M54" s="122"/>
      <c r="N54" s="122"/>
      <c r="O54" s="122"/>
      <c r="P54" s="122"/>
      <c r="Q54" s="122"/>
      <c r="R54" s="122"/>
      <c r="S54" s="122"/>
      <c r="T54" s="122"/>
      <c r="U54" s="122"/>
      <c r="V54" s="122"/>
      <c r="W54" s="122"/>
      <c r="X54" s="122"/>
      <c r="Y54" s="122"/>
    </row>
    <row r="55" spans="1:25" ht="16.5" customHeight="1" x14ac:dyDescent="0.2">
      <c r="A55" s="181"/>
      <c r="B55" s="174"/>
      <c r="C55" s="175"/>
      <c r="D55" s="175"/>
      <c r="E55" s="175"/>
      <c r="F55" s="122"/>
      <c r="G55" s="122"/>
      <c r="H55" s="122"/>
      <c r="I55" s="122"/>
      <c r="J55" s="173"/>
      <c r="K55" s="181"/>
      <c r="L55" s="122"/>
      <c r="M55" s="122"/>
      <c r="N55" s="122"/>
      <c r="O55" s="122"/>
      <c r="P55" s="122"/>
      <c r="Q55" s="122"/>
      <c r="R55" s="122"/>
      <c r="S55" s="122"/>
      <c r="T55" s="122"/>
      <c r="U55" s="122"/>
      <c r="V55" s="122"/>
      <c r="W55" s="122"/>
      <c r="X55" s="122"/>
      <c r="Y55" s="122"/>
    </row>
    <row r="56" spans="1:25" ht="16.5" customHeight="1" x14ac:dyDescent="0.2">
      <c r="A56" s="181"/>
      <c r="B56" s="174"/>
      <c r="C56" s="175"/>
      <c r="D56" s="175"/>
      <c r="E56" s="175"/>
      <c r="F56" s="122"/>
      <c r="G56" s="122"/>
      <c r="H56" s="122"/>
      <c r="I56" s="122"/>
      <c r="J56" s="173"/>
      <c r="K56" s="181"/>
      <c r="L56" s="122"/>
      <c r="M56" s="122"/>
      <c r="N56" s="122"/>
      <c r="O56" s="122"/>
      <c r="P56" s="122"/>
      <c r="Q56" s="122"/>
      <c r="R56" s="122"/>
      <c r="S56" s="122"/>
      <c r="T56" s="122"/>
      <c r="U56" s="122"/>
      <c r="V56" s="122"/>
      <c r="W56" s="122"/>
      <c r="X56" s="122"/>
      <c r="Y56" s="122"/>
    </row>
    <row r="57" spans="1:25" ht="16.5" customHeight="1" x14ac:dyDescent="0.2">
      <c r="A57" s="181"/>
      <c r="B57" s="174"/>
      <c r="C57" s="175"/>
      <c r="D57" s="175"/>
      <c r="E57" s="175"/>
      <c r="F57" s="122"/>
      <c r="G57" s="122"/>
      <c r="H57" s="122"/>
      <c r="I57" s="122"/>
      <c r="J57" s="173"/>
      <c r="K57" s="181"/>
      <c r="L57" s="122"/>
      <c r="M57" s="122"/>
      <c r="N57" s="122"/>
      <c r="O57" s="122"/>
      <c r="P57" s="122"/>
      <c r="Q57" s="122"/>
      <c r="R57" s="122"/>
      <c r="S57" s="122"/>
      <c r="T57" s="122"/>
      <c r="U57" s="122"/>
      <c r="V57" s="122"/>
      <c r="W57" s="122"/>
      <c r="X57" s="122"/>
      <c r="Y57" s="122"/>
    </row>
    <row r="58" spans="1:25" ht="15" hidden="1" customHeight="1" x14ac:dyDescent="0.2">
      <c r="A58" s="181"/>
      <c r="B58" s="174"/>
      <c r="C58" s="175"/>
      <c r="D58" s="175"/>
      <c r="E58" s="175"/>
      <c r="F58" s="122"/>
      <c r="G58" s="122"/>
      <c r="H58" s="122"/>
      <c r="I58" s="122"/>
      <c r="J58" s="173"/>
      <c r="K58" s="181"/>
      <c r="L58" s="122"/>
      <c r="M58" s="122"/>
      <c r="N58" s="122"/>
      <c r="O58" s="122"/>
      <c r="P58" s="122"/>
      <c r="Q58" s="122"/>
      <c r="R58" s="122"/>
      <c r="S58" s="122"/>
      <c r="T58" s="122"/>
      <c r="U58" s="122"/>
      <c r="V58" s="122"/>
      <c r="W58" s="122"/>
      <c r="X58" s="122"/>
      <c r="Y58" s="122"/>
    </row>
    <row r="59" spans="1:25" ht="15" hidden="1" customHeight="1" x14ac:dyDescent="0.2">
      <c r="A59" s="181"/>
      <c r="B59" s="174"/>
      <c r="C59" s="175"/>
      <c r="D59" s="175"/>
      <c r="E59" s="175"/>
      <c r="F59" s="122"/>
      <c r="G59" s="122"/>
      <c r="H59" s="122"/>
      <c r="I59" s="122"/>
      <c r="J59" s="173"/>
      <c r="K59" s="181"/>
      <c r="L59" s="122"/>
      <c r="M59" s="122"/>
      <c r="N59" s="122"/>
      <c r="O59" s="122"/>
      <c r="P59" s="122"/>
      <c r="Q59" s="122"/>
      <c r="R59" s="122"/>
      <c r="S59" s="122"/>
      <c r="T59" s="122"/>
      <c r="U59" s="122"/>
      <c r="V59" s="122"/>
      <c r="W59" s="122"/>
      <c r="X59" s="122"/>
      <c r="Y59" s="122"/>
    </row>
    <row r="60" spans="1:25" ht="15" hidden="1" customHeight="1" x14ac:dyDescent="0.2">
      <c r="A60" s="181"/>
      <c r="B60" s="174"/>
      <c r="C60" s="175"/>
      <c r="D60" s="175"/>
      <c r="E60" s="175"/>
      <c r="F60" s="122"/>
      <c r="G60" s="122"/>
      <c r="H60" s="122"/>
      <c r="I60" s="122"/>
      <c r="J60" s="173"/>
      <c r="K60" s="181"/>
      <c r="L60" s="122"/>
      <c r="M60" s="122"/>
      <c r="N60" s="122"/>
      <c r="O60" s="122"/>
      <c r="P60" s="122"/>
      <c r="Q60" s="122"/>
      <c r="R60" s="122"/>
      <c r="S60" s="122"/>
      <c r="T60" s="122"/>
      <c r="U60" s="122"/>
      <c r="V60" s="122"/>
      <c r="W60" s="122"/>
      <c r="X60" s="122"/>
      <c r="Y60" s="122"/>
    </row>
    <row r="61" spans="1:25" ht="15" hidden="1" customHeight="1" x14ac:dyDescent="0.2">
      <c r="A61" s="181"/>
      <c r="B61" s="174"/>
      <c r="C61" s="175"/>
      <c r="D61" s="175"/>
      <c r="E61" s="175"/>
      <c r="F61" s="122"/>
      <c r="G61" s="122"/>
      <c r="H61" s="122"/>
      <c r="I61" s="122"/>
      <c r="J61" s="173"/>
      <c r="K61" s="181"/>
      <c r="L61" s="122"/>
      <c r="M61" s="122"/>
      <c r="N61" s="122"/>
      <c r="O61" s="122"/>
      <c r="P61" s="122"/>
      <c r="Q61" s="122"/>
      <c r="R61" s="122"/>
      <c r="S61" s="122"/>
      <c r="T61" s="122"/>
      <c r="U61" s="122"/>
      <c r="V61" s="122"/>
      <c r="W61" s="122"/>
      <c r="X61" s="122"/>
      <c r="Y61" s="122"/>
    </row>
    <row r="62" spans="1:25" ht="15" hidden="1" customHeight="1" x14ac:dyDescent="0.2">
      <c r="A62" s="181"/>
      <c r="B62" s="174"/>
      <c r="C62" s="175"/>
      <c r="D62" s="175"/>
      <c r="E62" s="175"/>
      <c r="F62" s="122"/>
      <c r="G62" s="122"/>
      <c r="H62" s="122"/>
      <c r="I62" s="122"/>
      <c r="J62" s="173"/>
      <c r="K62" s="181"/>
      <c r="L62" s="122"/>
      <c r="M62" s="122"/>
      <c r="N62" s="122"/>
      <c r="O62" s="122"/>
      <c r="P62" s="122"/>
      <c r="Q62" s="122"/>
      <c r="R62" s="122"/>
      <c r="S62" s="122"/>
      <c r="T62" s="122"/>
      <c r="U62" s="122"/>
      <c r="V62" s="122"/>
      <c r="W62" s="122"/>
      <c r="X62" s="122"/>
      <c r="Y62" s="122"/>
    </row>
    <row r="63" spans="1:25" ht="15" hidden="1" customHeight="1" x14ac:dyDescent="0.2">
      <c r="A63" s="181"/>
      <c r="B63" s="174"/>
      <c r="C63" s="175"/>
      <c r="D63" s="175"/>
      <c r="E63" s="175"/>
      <c r="F63" s="122"/>
      <c r="G63" s="122"/>
      <c r="H63" s="122"/>
      <c r="I63" s="122"/>
      <c r="J63" s="173"/>
      <c r="K63" s="181"/>
      <c r="L63" s="122"/>
      <c r="M63" s="122"/>
      <c r="N63" s="122"/>
      <c r="O63" s="122"/>
      <c r="P63" s="122"/>
      <c r="Q63" s="122"/>
      <c r="R63" s="122"/>
      <c r="S63" s="122"/>
      <c r="T63" s="122"/>
      <c r="U63" s="122"/>
      <c r="V63" s="122"/>
      <c r="W63" s="122"/>
      <c r="X63" s="122"/>
      <c r="Y63" s="122"/>
    </row>
    <row r="64" spans="1:25" ht="15" hidden="1" customHeight="1" x14ac:dyDescent="0.2">
      <c r="A64" s="181"/>
      <c r="B64" s="174"/>
      <c r="C64" s="175"/>
      <c r="D64" s="175"/>
      <c r="E64" s="175"/>
      <c r="F64" s="122"/>
      <c r="G64" s="122"/>
      <c r="H64" s="122"/>
      <c r="I64" s="122"/>
      <c r="J64" s="173"/>
      <c r="K64" s="181"/>
      <c r="L64" s="122"/>
      <c r="M64" s="122"/>
      <c r="N64" s="122"/>
      <c r="O64" s="122"/>
      <c r="P64" s="122"/>
      <c r="Q64" s="122"/>
      <c r="R64" s="122"/>
      <c r="S64" s="122"/>
      <c r="T64" s="122"/>
      <c r="U64" s="122"/>
      <c r="V64" s="122"/>
      <c r="W64" s="122"/>
      <c r="X64" s="122"/>
      <c r="Y64" s="122"/>
    </row>
    <row r="65" spans="1:25" ht="15" hidden="1" customHeight="1" x14ac:dyDescent="0.2">
      <c r="A65" s="181"/>
      <c r="B65" s="174"/>
      <c r="C65" s="175"/>
      <c r="D65" s="175"/>
      <c r="E65" s="175"/>
      <c r="F65" s="122"/>
      <c r="G65" s="122"/>
      <c r="H65" s="122"/>
      <c r="I65" s="122"/>
      <c r="J65" s="173"/>
      <c r="K65" s="181"/>
      <c r="L65" s="122"/>
      <c r="M65" s="122"/>
      <c r="N65" s="122"/>
      <c r="O65" s="122"/>
      <c r="P65" s="122"/>
      <c r="Q65" s="122"/>
      <c r="R65" s="122"/>
      <c r="S65" s="122"/>
      <c r="T65" s="122"/>
      <c r="U65" s="122"/>
      <c r="V65" s="122"/>
      <c r="W65" s="122"/>
      <c r="X65" s="122"/>
      <c r="Y65" s="122"/>
    </row>
    <row r="66" spans="1:25" ht="15" hidden="1" customHeight="1" x14ac:dyDescent="0.2">
      <c r="A66" s="181"/>
      <c r="B66" s="174"/>
      <c r="C66" s="175"/>
      <c r="D66" s="175"/>
      <c r="E66" s="175"/>
      <c r="F66" s="122"/>
      <c r="G66" s="122"/>
      <c r="H66" s="122"/>
      <c r="I66" s="122"/>
      <c r="J66" s="173"/>
      <c r="K66" s="181"/>
      <c r="L66" s="122"/>
      <c r="M66" s="122"/>
      <c r="N66" s="122"/>
      <c r="O66" s="122"/>
      <c r="P66" s="122"/>
      <c r="Q66" s="122"/>
      <c r="R66" s="122"/>
      <c r="S66" s="122"/>
      <c r="T66" s="122"/>
      <c r="U66" s="122"/>
      <c r="V66" s="122"/>
      <c r="W66" s="122"/>
      <c r="X66" s="122"/>
      <c r="Y66" s="122"/>
    </row>
    <row r="67" spans="1:25" ht="15" hidden="1" customHeight="1" x14ac:dyDescent="0.2">
      <c r="A67" s="181"/>
      <c r="B67" s="174"/>
      <c r="C67" s="175"/>
      <c r="D67" s="175"/>
      <c r="E67" s="175"/>
      <c r="F67" s="122"/>
      <c r="G67" s="122"/>
      <c r="H67" s="122"/>
      <c r="I67" s="122"/>
      <c r="J67" s="173"/>
      <c r="K67" s="181"/>
      <c r="L67" s="122"/>
      <c r="M67" s="122"/>
      <c r="N67" s="122"/>
      <c r="O67" s="122"/>
      <c r="P67" s="122"/>
      <c r="Q67" s="122"/>
      <c r="R67" s="122"/>
      <c r="S67" s="122"/>
      <c r="T67" s="122"/>
      <c r="U67" s="122"/>
      <c r="V67" s="122"/>
      <c r="W67" s="122"/>
      <c r="X67" s="122"/>
      <c r="Y67" s="122"/>
    </row>
    <row r="68" spans="1:25" ht="15.75" customHeight="1" x14ac:dyDescent="0.2">
      <c r="A68" s="181"/>
      <c r="B68" s="174"/>
      <c r="C68" s="175"/>
      <c r="D68" s="175"/>
      <c r="E68" s="175"/>
      <c r="F68" s="122"/>
      <c r="G68" s="122"/>
      <c r="H68" s="122"/>
      <c r="I68" s="122"/>
      <c r="J68" s="173"/>
      <c r="K68" s="181"/>
      <c r="L68" s="122"/>
      <c r="M68" s="122"/>
      <c r="N68" s="122"/>
      <c r="O68" s="122"/>
      <c r="P68" s="122"/>
      <c r="Q68" s="122"/>
      <c r="R68" s="122"/>
      <c r="S68" s="122"/>
      <c r="T68" s="122"/>
      <c r="U68" s="122"/>
      <c r="V68" s="122"/>
      <c r="W68" s="122"/>
      <c r="X68" s="122"/>
      <c r="Y68" s="122"/>
    </row>
    <row r="69" spans="1:25" ht="15.75" customHeight="1" x14ac:dyDescent="0.2">
      <c r="A69" s="181"/>
      <c r="B69" s="174"/>
      <c r="C69" s="175"/>
      <c r="D69" s="175"/>
      <c r="E69" s="175"/>
      <c r="F69" s="122"/>
      <c r="G69" s="122"/>
      <c r="H69" s="122"/>
      <c r="I69" s="122"/>
      <c r="J69" s="173"/>
      <c r="K69" s="181"/>
      <c r="L69" s="122"/>
      <c r="M69" s="122"/>
      <c r="N69" s="122"/>
      <c r="O69" s="122"/>
      <c r="P69" s="122"/>
      <c r="Q69" s="122"/>
      <c r="R69" s="122"/>
      <c r="S69" s="122"/>
      <c r="T69" s="122"/>
      <c r="U69" s="122"/>
      <c r="V69" s="122"/>
      <c r="W69" s="122"/>
      <c r="X69" s="122"/>
      <c r="Y69" s="122"/>
    </row>
    <row r="70" spans="1:25" ht="15.75" customHeight="1" x14ac:dyDescent="0.2">
      <c r="A70" s="181"/>
      <c r="B70" s="174"/>
      <c r="C70" s="175"/>
      <c r="D70" s="175"/>
      <c r="E70" s="175"/>
      <c r="F70" s="122"/>
      <c r="G70" s="122"/>
      <c r="H70" s="122"/>
      <c r="I70" s="122"/>
      <c r="J70" s="173"/>
      <c r="K70" s="181"/>
      <c r="L70" s="122"/>
      <c r="M70" s="122"/>
      <c r="N70" s="122"/>
      <c r="O70" s="122"/>
      <c r="P70" s="122"/>
      <c r="Q70" s="122"/>
      <c r="R70" s="122"/>
      <c r="S70" s="122"/>
      <c r="T70" s="122"/>
      <c r="U70" s="122"/>
      <c r="V70" s="122"/>
      <c r="W70" s="122"/>
      <c r="X70" s="122"/>
      <c r="Y70" s="122"/>
    </row>
    <row r="71" spans="1:25" ht="15.75" customHeight="1" x14ac:dyDescent="0.2">
      <c r="A71" s="181"/>
      <c r="B71" s="174"/>
      <c r="C71" s="175"/>
      <c r="D71" s="175"/>
      <c r="E71" s="175"/>
      <c r="F71" s="122"/>
      <c r="G71" s="122"/>
      <c r="H71" s="122"/>
      <c r="I71" s="122"/>
      <c r="J71" s="173"/>
      <c r="K71" s="181"/>
      <c r="L71" s="122"/>
      <c r="M71" s="122"/>
      <c r="N71" s="122"/>
      <c r="O71" s="122"/>
      <c r="P71" s="122"/>
      <c r="Q71" s="122"/>
      <c r="R71" s="122"/>
      <c r="S71" s="122"/>
      <c r="T71" s="122"/>
      <c r="U71" s="122"/>
      <c r="V71" s="122"/>
      <c r="W71" s="122"/>
      <c r="X71" s="122"/>
      <c r="Y71" s="122"/>
    </row>
    <row r="72" spans="1:25" ht="15.75" customHeight="1" x14ac:dyDescent="0.2">
      <c r="A72" s="181"/>
      <c r="B72" s="174"/>
      <c r="C72" s="175"/>
      <c r="D72" s="175"/>
      <c r="E72" s="175"/>
      <c r="F72" s="122"/>
      <c r="G72" s="122"/>
      <c r="H72" s="122"/>
      <c r="I72" s="122"/>
      <c r="J72" s="173"/>
      <c r="K72" s="181"/>
      <c r="L72" s="122"/>
      <c r="M72" s="122"/>
      <c r="N72" s="122"/>
      <c r="O72" s="122"/>
      <c r="P72" s="122"/>
      <c r="Q72" s="122"/>
      <c r="R72" s="122"/>
      <c r="S72" s="122"/>
      <c r="T72" s="122"/>
      <c r="U72" s="122"/>
      <c r="V72" s="122"/>
      <c r="W72" s="122"/>
      <c r="X72" s="122"/>
      <c r="Y72" s="122"/>
    </row>
    <row r="73" spans="1:25" ht="15.75" customHeight="1" x14ac:dyDescent="0.2">
      <c r="A73" s="181"/>
      <c r="B73" s="174"/>
      <c r="C73" s="175"/>
      <c r="D73" s="175"/>
      <c r="E73" s="175"/>
      <c r="F73" s="122"/>
      <c r="G73" s="122"/>
      <c r="H73" s="122"/>
      <c r="I73" s="122"/>
      <c r="J73" s="173"/>
      <c r="K73" s="181"/>
      <c r="L73" s="122"/>
      <c r="M73" s="122"/>
      <c r="N73" s="122"/>
      <c r="O73" s="122"/>
      <c r="P73" s="122"/>
      <c r="Q73" s="122"/>
      <c r="R73" s="122"/>
      <c r="S73" s="122"/>
      <c r="T73" s="122"/>
      <c r="U73" s="122"/>
      <c r="V73" s="122"/>
      <c r="W73" s="122"/>
      <c r="X73" s="122"/>
      <c r="Y73" s="122"/>
    </row>
    <row r="74" spans="1:25" ht="15.75" customHeight="1" x14ac:dyDescent="0.2">
      <c r="A74" s="181"/>
      <c r="B74" s="174"/>
      <c r="C74" s="175"/>
      <c r="D74" s="175"/>
      <c r="E74" s="175"/>
      <c r="F74" s="122"/>
      <c r="G74" s="122"/>
      <c r="H74" s="122"/>
      <c r="I74" s="122"/>
      <c r="J74" s="173"/>
      <c r="K74" s="181"/>
      <c r="L74" s="122"/>
      <c r="M74" s="122"/>
      <c r="N74" s="122"/>
      <c r="O74" s="122"/>
      <c r="P74" s="122"/>
      <c r="Q74" s="122"/>
      <c r="R74" s="122"/>
      <c r="S74" s="122"/>
      <c r="T74" s="122"/>
      <c r="U74" s="122"/>
      <c r="V74" s="122"/>
      <c r="W74" s="122"/>
      <c r="X74" s="122"/>
      <c r="Y74" s="122"/>
    </row>
    <row r="75" spans="1:25" ht="15.75" customHeight="1" x14ac:dyDescent="0.2">
      <c r="A75" s="181"/>
      <c r="B75" s="174"/>
      <c r="C75" s="175"/>
      <c r="D75" s="175"/>
      <c r="E75" s="175"/>
      <c r="F75" s="122"/>
      <c r="G75" s="122"/>
      <c r="H75" s="122"/>
      <c r="I75" s="122"/>
      <c r="J75" s="173"/>
      <c r="K75" s="181"/>
      <c r="L75" s="122"/>
      <c r="M75" s="122"/>
      <c r="N75" s="122"/>
      <c r="O75" s="122"/>
      <c r="P75" s="122"/>
      <c r="Q75" s="122"/>
      <c r="R75" s="122"/>
      <c r="S75" s="122"/>
      <c r="T75" s="122"/>
      <c r="U75" s="122"/>
      <c r="V75" s="122"/>
      <c r="W75" s="122"/>
      <c r="X75" s="122"/>
      <c r="Y75" s="122"/>
    </row>
    <row r="76" spans="1:25" ht="15.75" customHeight="1" x14ac:dyDescent="0.2">
      <c r="A76" s="181"/>
      <c r="B76" s="174"/>
      <c r="C76" s="175"/>
      <c r="D76" s="175"/>
      <c r="E76" s="175"/>
      <c r="F76" s="122"/>
      <c r="G76" s="122"/>
      <c r="H76" s="122"/>
      <c r="I76" s="122"/>
      <c r="J76" s="173"/>
      <c r="K76" s="181"/>
      <c r="L76" s="122"/>
      <c r="M76" s="122"/>
      <c r="N76" s="122"/>
      <c r="O76" s="122"/>
      <c r="P76" s="122"/>
      <c r="Q76" s="122"/>
      <c r="R76" s="122"/>
      <c r="S76" s="122"/>
      <c r="T76" s="122"/>
      <c r="U76" s="122"/>
      <c r="V76" s="122"/>
      <c r="W76" s="122"/>
      <c r="X76" s="122"/>
      <c r="Y76" s="122"/>
    </row>
    <row r="77" spans="1:25" ht="15.75" customHeight="1" x14ac:dyDescent="0.2">
      <c r="A77" s="181"/>
      <c r="B77" s="174"/>
      <c r="C77" s="175"/>
      <c r="D77" s="175"/>
      <c r="E77" s="175"/>
      <c r="F77" s="122"/>
      <c r="G77" s="122"/>
      <c r="H77" s="122"/>
      <c r="I77" s="122"/>
      <c r="J77" s="173"/>
      <c r="K77" s="181"/>
      <c r="L77" s="122"/>
      <c r="M77" s="122"/>
      <c r="N77" s="122"/>
      <c r="O77" s="122"/>
      <c r="P77" s="122"/>
      <c r="Q77" s="122"/>
      <c r="R77" s="122"/>
      <c r="S77" s="122"/>
      <c r="T77" s="122"/>
      <c r="U77" s="122"/>
      <c r="V77" s="122"/>
      <c r="W77" s="122"/>
      <c r="X77" s="122"/>
      <c r="Y77" s="122"/>
    </row>
    <row r="78" spans="1:25" ht="15.75" customHeight="1" x14ac:dyDescent="0.2">
      <c r="A78" s="181"/>
      <c r="B78" s="174"/>
      <c r="C78" s="175"/>
      <c r="D78" s="175"/>
      <c r="E78" s="175"/>
      <c r="F78" s="122"/>
      <c r="G78" s="122"/>
      <c r="H78" s="122"/>
      <c r="I78" s="122"/>
      <c r="J78" s="173"/>
      <c r="K78" s="181"/>
      <c r="L78" s="122"/>
      <c r="M78" s="122"/>
      <c r="N78" s="122"/>
      <c r="O78" s="122"/>
      <c r="P78" s="122"/>
      <c r="Q78" s="122"/>
      <c r="R78" s="122"/>
      <c r="S78" s="122"/>
      <c r="T78" s="122"/>
      <c r="U78" s="122"/>
      <c r="V78" s="122"/>
      <c r="W78" s="122"/>
      <c r="X78" s="122"/>
      <c r="Y78" s="122"/>
    </row>
    <row r="79" spans="1:25" ht="15.75" customHeight="1" x14ac:dyDescent="0.2">
      <c r="A79" s="181"/>
      <c r="B79" s="174"/>
      <c r="C79" s="175"/>
      <c r="D79" s="175"/>
      <c r="E79" s="175"/>
      <c r="F79" s="122"/>
      <c r="G79" s="122"/>
      <c r="H79" s="122"/>
      <c r="I79" s="122"/>
      <c r="J79" s="173"/>
      <c r="K79" s="181"/>
      <c r="L79" s="122"/>
      <c r="M79" s="122"/>
      <c r="N79" s="122"/>
      <c r="O79" s="122"/>
      <c r="P79" s="122"/>
      <c r="Q79" s="122"/>
      <c r="R79" s="122"/>
      <c r="S79" s="122"/>
      <c r="T79" s="122"/>
      <c r="U79" s="122"/>
      <c r="V79" s="122"/>
      <c r="W79" s="122"/>
      <c r="X79" s="122"/>
      <c r="Y79" s="122"/>
    </row>
    <row r="80" spans="1:25" ht="15.75" customHeight="1" x14ac:dyDescent="0.2">
      <c r="A80" s="181"/>
      <c r="B80" s="174"/>
      <c r="C80" s="175"/>
      <c r="D80" s="175"/>
      <c r="E80" s="175"/>
      <c r="F80" s="122"/>
      <c r="G80" s="122"/>
      <c r="H80" s="122"/>
      <c r="I80" s="122"/>
      <c r="J80" s="173"/>
      <c r="K80" s="181"/>
      <c r="L80" s="122"/>
      <c r="M80" s="122"/>
      <c r="N80" s="122"/>
      <c r="O80" s="122"/>
      <c r="P80" s="122"/>
      <c r="Q80" s="122"/>
      <c r="R80" s="122"/>
      <c r="S80" s="122"/>
      <c r="T80" s="122"/>
      <c r="U80" s="122"/>
      <c r="V80" s="122"/>
      <c r="W80" s="122"/>
      <c r="X80" s="122"/>
      <c r="Y80" s="122"/>
    </row>
    <row r="81" spans="1:25" ht="15.75" customHeight="1" x14ac:dyDescent="0.2">
      <c r="A81" s="181"/>
      <c r="B81" s="174"/>
      <c r="C81" s="175"/>
      <c r="D81" s="175"/>
      <c r="E81" s="175"/>
      <c r="F81" s="122"/>
      <c r="G81" s="122"/>
      <c r="H81" s="122"/>
      <c r="I81" s="122"/>
      <c r="J81" s="173"/>
      <c r="K81" s="181"/>
      <c r="L81" s="122"/>
      <c r="M81" s="122"/>
      <c r="N81" s="122"/>
      <c r="O81" s="122"/>
      <c r="P81" s="122"/>
      <c r="Q81" s="122"/>
      <c r="R81" s="122"/>
      <c r="S81" s="122"/>
      <c r="T81" s="122"/>
      <c r="U81" s="122"/>
      <c r="V81" s="122"/>
      <c r="W81" s="122"/>
      <c r="X81" s="122"/>
      <c r="Y81" s="122"/>
    </row>
    <row r="82" spans="1:25" ht="15.75" customHeight="1" x14ac:dyDescent="0.2">
      <c r="A82" s="181"/>
      <c r="B82" s="174"/>
      <c r="C82" s="175"/>
      <c r="D82" s="175"/>
      <c r="E82" s="175"/>
      <c r="F82" s="122"/>
      <c r="G82" s="122"/>
      <c r="H82" s="122"/>
      <c r="I82" s="122"/>
      <c r="J82" s="173"/>
      <c r="K82" s="181"/>
      <c r="L82" s="122"/>
      <c r="M82" s="122"/>
      <c r="N82" s="122"/>
      <c r="O82" s="122"/>
      <c r="P82" s="122"/>
      <c r="Q82" s="122"/>
      <c r="R82" s="122"/>
      <c r="S82" s="122"/>
      <c r="T82" s="122"/>
      <c r="U82" s="122"/>
      <c r="V82" s="122"/>
      <c r="W82" s="122"/>
      <c r="X82" s="122"/>
      <c r="Y82" s="122"/>
    </row>
    <row r="83" spans="1:25" ht="15.75" customHeight="1" x14ac:dyDescent="0.2">
      <c r="A83" s="181"/>
      <c r="B83" s="174"/>
      <c r="C83" s="175"/>
      <c r="D83" s="175"/>
      <c r="E83" s="175"/>
      <c r="F83" s="122"/>
      <c r="G83" s="122"/>
      <c r="H83" s="122"/>
      <c r="I83" s="122"/>
      <c r="J83" s="173"/>
      <c r="K83" s="181"/>
      <c r="L83" s="122"/>
      <c r="M83" s="122"/>
      <c r="N83" s="122"/>
      <c r="O83" s="122"/>
      <c r="P83" s="122"/>
      <c r="Q83" s="122"/>
      <c r="R83" s="122"/>
      <c r="S83" s="122"/>
      <c r="T83" s="122"/>
      <c r="U83" s="122"/>
      <c r="V83" s="122"/>
      <c r="W83" s="122"/>
      <c r="X83" s="122"/>
      <c r="Y83" s="122"/>
    </row>
    <row r="84" spans="1:25" ht="15.75" customHeight="1" x14ac:dyDescent="0.2">
      <c r="A84" s="181"/>
      <c r="B84" s="174"/>
      <c r="C84" s="175"/>
      <c r="D84" s="175"/>
      <c r="E84" s="175"/>
      <c r="F84" s="122"/>
      <c r="G84" s="122"/>
      <c r="H84" s="122"/>
      <c r="I84" s="122"/>
      <c r="J84" s="173"/>
      <c r="K84" s="181"/>
      <c r="L84" s="122"/>
      <c r="M84" s="122"/>
      <c r="N84" s="122"/>
      <c r="O84" s="122"/>
      <c r="P84" s="122"/>
      <c r="Q84" s="122"/>
      <c r="R84" s="122"/>
      <c r="S84" s="122"/>
      <c r="T84" s="122"/>
      <c r="U84" s="122"/>
      <c r="V84" s="122"/>
      <c r="W84" s="122"/>
      <c r="X84" s="122"/>
      <c r="Y84" s="122"/>
    </row>
    <row r="85" spans="1:25" ht="15.75" customHeight="1" x14ac:dyDescent="0.2">
      <c r="A85" s="181"/>
      <c r="B85" s="174"/>
      <c r="C85" s="175"/>
      <c r="D85" s="175"/>
      <c r="E85" s="175"/>
      <c r="F85" s="122"/>
      <c r="G85" s="122"/>
      <c r="H85" s="122"/>
      <c r="I85" s="122"/>
      <c r="J85" s="173"/>
      <c r="K85" s="181"/>
      <c r="L85" s="122"/>
      <c r="M85" s="122"/>
      <c r="N85" s="122"/>
      <c r="O85" s="122"/>
      <c r="P85" s="122"/>
      <c r="Q85" s="122"/>
      <c r="R85" s="122"/>
      <c r="S85" s="122"/>
      <c r="T85" s="122"/>
      <c r="U85" s="122"/>
      <c r="V85" s="122"/>
      <c r="W85" s="122"/>
      <c r="X85" s="122"/>
      <c r="Y85" s="122"/>
    </row>
    <row r="86" spans="1:25" ht="15.75" customHeight="1" x14ac:dyDescent="0.2">
      <c r="A86" s="181"/>
      <c r="B86" s="174"/>
      <c r="C86" s="175"/>
      <c r="D86" s="175"/>
      <c r="E86" s="175"/>
      <c r="F86" s="122"/>
      <c r="G86" s="122"/>
      <c r="H86" s="122"/>
      <c r="I86" s="122"/>
      <c r="J86" s="173"/>
      <c r="K86" s="181"/>
      <c r="L86" s="122"/>
      <c r="M86" s="122"/>
      <c r="N86" s="122"/>
      <c r="O86" s="122"/>
      <c r="P86" s="122"/>
      <c r="Q86" s="122"/>
      <c r="R86" s="122"/>
      <c r="S86" s="122"/>
      <c r="T86" s="122"/>
      <c r="U86" s="122"/>
      <c r="V86" s="122"/>
      <c r="W86" s="122"/>
      <c r="X86" s="122"/>
      <c r="Y86" s="122"/>
    </row>
    <row r="87" spans="1:25" ht="15.75" customHeight="1" x14ac:dyDescent="0.2">
      <c r="A87" s="181"/>
      <c r="B87" s="174"/>
      <c r="C87" s="175"/>
      <c r="D87" s="175"/>
      <c r="E87" s="175"/>
      <c r="F87" s="122"/>
      <c r="G87" s="122"/>
      <c r="H87" s="122"/>
      <c r="I87" s="122"/>
      <c r="J87" s="173"/>
      <c r="K87" s="181"/>
      <c r="L87" s="122"/>
      <c r="M87" s="122"/>
      <c r="N87" s="122"/>
      <c r="O87" s="122"/>
      <c r="P87" s="122"/>
      <c r="Q87" s="122"/>
      <c r="R87" s="122"/>
      <c r="S87" s="122"/>
      <c r="T87" s="122"/>
      <c r="U87" s="122"/>
      <c r="V87" s="122"/>
      <c r="W87" s="122"/>
      <c r="X87" s="122"/>
      <c r="Y87" s="122"/>
    </row>
    <row r="88" spans="1:25" ht="15.75" customHeight="1" x14ac:dyDescent="0.2">
      <c r="A88" s="181"/>
      <c r="B88" s="174"/>
      <c r="C88" s="175"/>
      <c r="D88" s="175"/>
      <c r="E88" s="175"/>
      <c r="F88" s="122"/>
      <c r="G88" s="122"/>
      <c r="H88" s="122"/>
      <c r="I88" s="122"/>
      <c r="J88" s="173"/>
      <c r="K88" s="181"/>
      <c r="L88" s="122"/>
      <c r="M88" s="122"/>
      <c r="N88" s="122"/>
      <c r="O88" s="122"/>
      <c r="P88" s="122"/>
      <c r="Q88" s="122"/>
      <c r="R88" s="122"/>
      <c r="S88" s="122"/>
      <c r="T88" s="122"/>
      <c r="U88" s="122"/>
      <c r="V88" s="122"/>
      <c r="W88" s="122"/>
      <c r="X88" s="122"/>
      <c r="Y88" s="122"/>
    </row>
    <row r="89" spans="1:25" ht="15.75" customHeight="1" x14ac:dyDescent="0.2">
      <c r="A89" s="181"/>
      <c r="B89" s="174"/>
      <c r="C89" s="175"/>
      <c r="D89" s="175"/>
      <c r="E89" s="175"/>
      <c r="F89" s="122"/>
      <c r="G89" s="122"/>
      <c r="H89" s="122"/>
      <c r="I89" s="122"/>
      <c r="J89" s="173"/>
      <c r="K89" s="181"/>
      <c r="L89" s="122"/>
      <c r="M89" s="122"/>
      <c r="N89" s="122"/>
      <c r="O89" s="122"/>
      <c r="P89" s="122"/>
      <c r="Q89" s="122"/>
      <c r="R89" s="122"/>
      <c r="S89" s="122"/>
      <c r="T89" s="122"/>
      <c r="U89" s="122"/>
      <c r="V89" s="122"/>
      <c r="W89" s="122"/>
      <c r="X89" s="122"/>
      <c r="Y89" s="122"/>
    </row>
    <row r="90" spans="1:25" ht="15.75" customHeight="1" x14ac:dyDescent="0.2">
      <c r="A90" s="181"/>
      <c r="B90" s="174"/>
      <c r="C90" s="175"/>
      <c r="D90" s="175"/>
      <c r="E90" s="175"/>
      <c r="F90" s="122"/>
      <c r="G90" s="122"/>
      <c r="H90" s="122"/>
      <c r="I90" s="122"/>
      <c r="J90" s="173"/>
      <c r="K90" s="181"/>
      <c r="L90" s="122"/>
      <c r="M90" s="122"/>
      <c r="N90" s="122"/>
      <c r="O90" s="122"/>
      <c r="P90" s="122"/>
      <c r="Q90" s="122"/>
      <c r="R90" s="122"/>
      <c r="S90" s="122"/>
      <c r="T90" s="122"/>
      <c r="U90" s="122"/>
      <c r="V90" s="122"/>
      <c r="W90" s="122"/>
      <c r="X90" s="122"/>
      <c r="Y90" s="122"/>
    </row>
    <row r="91" spans="1:25" ht="15.75" customHeight="1" x14ac:dyDescent="0.2">
      <c r="A91" s="181"/>
      <c r="B91" s="174"/>
      <c r="C91" s="175"/>
      <c r="D91" s="175"/>
      <c r="E91" s="175"/>
      <c r="F91" s="122"/>
      <c r="G91" s="122"/>
      <c r="H91" s="122"/>
      <c r="I91" s="122"/>
      <c r="J91" s="173"/>
      <c r="K91" s="181"/>
      <c r="L91" s="122"/>
      <c r="M91" s="122"/>
      <c r="N91" s="122"/>
      <c r="O91" s="122"/>
      <c r="P91" s="122"/>
      <c r="Q91" s="122"/>
      <c r="R91" s="122"/>
      <c r="S91" s="122"/>
      <c r="T91" s="122"/>
      <c r="U91" s="122"/>
      <c r="V91" s="122"/>
      <c r="W91" s="122"/>
      <c r="X91" s="122"/>
      <c r="Y91" s="122"/>
    </row>
    <row r="92" spans="1:25" ht="15.75" customHeight="1" x14ac:dyDescent="0.2">
      <c r="A92" s="181"/>
      <c r="B92" s="174"/>
      <c r="C92" s="175"/>
      <c r="D92" s="175"/>
      <c r="E92" s="175"/>
      <c r="F92" s="122"/>
      <c r="G92" s="122"/>
      <c r="H92" s="122"/>
      <c r="I92" s="122"/>
      <c r="J92" s="173"/>
      <c r="K92" s="181"/>
      <c r="L92" s="122"/>
      <c r="M92" s="122"/>
      <c r="N92" s="122"/>
      <c r="O92" s="122"/>
      <c r="P92" s="122"/>
      <c r="Q92" s="122"/>
      <c r="R92" s="122"/>
      <c r="S92" s="122"/>
      <c r="T92" s="122"/>
      <c r="U92" s="122"/>
      <c r="V92" s="122"/>
      <c r="W92" s="122"/>
      <c r="X92" s="122"/>
      <c r="Y92" s="122"/>
    </row>
    <row r="93" spans="1:25" ht="15.75" customHeight="1" x14ac:dyDescent="0.2">
      <c r="A93" s="181"/>
      <c r="B93" s="174"/>
      <c r="C93" s="175"/>
      <c r="D93" s="175"/>
      <c r="E93" s="175"/>
      <c r="F93" s="122"/>
      <c r="G93" s="122"/>
      <c r="H93" s="122"/>
      <c r="I93" s="122"/>
      <c r="J93" s="173"/>
      <c r="K93" s="181"/>
      <c r="L93" s="122"/>
      <c r="M93" s="122"/>
      <c r="N93" s="122"/>
      <c r="O93" s="122"/>
      <c r="P93" s="122"/>
      <c r="Q93" s="122"/>
      <c r="R93" s="122"/>
      <c r="S93" s="122"/>
      <c r="T93" s="122"/>
      <c r="U93" s="122"/>
      <c r="V93" s="122"/>
      <c r="W93" s="122"/>
      <c r="X93" s="122"/>
      <c r="Y93" s="122"/>
    </row>
    <row r="94" spans="1:25" ht="15.75" customHeight="1" x14ac:dyDescent="0.2">
      <c r="A94" s="181"/>
      <c r="B94" s="174"/>
      <c r="C94" s="175"/>
      <c r="D94" s="175"/>
      <c r="E94" s="175"/>
      <c r="F94" s="122"/>
      <c r="G94" s="122"/>
      <c r="H94" s="122"/>
      <c r="I94" s="122"/>
      <c r="J94" s="173"/>
      <c r="K94" s="181"/>
      <c r="L94" s="122"/>
      <c r="M94" s="122"/>
      <c r="N94" s="122"/>
      <c r="O94" s="122"/>
      <c r="P94" s="122"/>
      <c r="Q94" s="122"/>
      <c r="R94" s="122"/>
      <c r="S94" s="122"/>
      <c r="T94" s="122"/>
      <c r="U94" s="122"/>
      <c r="V94" s="122"/>
      <c r="W94" s="122"/>
      <c r="X94" s="122"/>
      <c r="Y94" s="122"/>
    </row>
    <row r="95" spans="1:25" ht="15.75" customHeight="1" x14ac:dyDescent="0.2">
      <c r="A95" s="181"/>
      <c r="B95" s="174"/>
      <c r="C95" s="175"/>
      <c r="D95" s="175"/>
      <c r="E95" s="175"/>
      <c r="F95" s="122"/>
      <c r="G95" s="122"/>
      <c r="H95" s="122"/>
      <c r="I95" s="122"/>
      <c r="J95" s="173"/>
      <c r="K95" s="181"/>
      <c r="L95" s="122"/>
      <c r="M95" s="122"/>
      <c r="N95" s="122"/>
      <c r="O95" s="122"/>
      <c r="P95" s="122"/>
      <c r="Q95" s="122"/>
      <c r="R95" s="122"/>
      <c r="S95" s="122"/>
      <c r="T95" s="122"/>
      <c r="U95" s="122"/>
      <c r="V95" s="122"/>
      <c r="W95" s="122"/>
      <c r="X95" s="122"/>
      <c r="Y95" s="122"/>
    </row>
    <row r="96" spans="1:25" ht="15.75" customHeight="1" x14ac:dyDescent="0.2">
      <c r="A96" s="181"/>
      <c r="B96" s="174"/>
      <c r="C96" s="175"/>
      <c r="D96" s="175"/>
      <c r="E96" s="175"/>
      <c r="F96" s="122"/>
      <c r="G96" s="122"/>
      <c r="H96" s="122"/>
      <c r="I96" s="122"/>
      <c r="J96" s="173"/>
      <c r="K96" s="181"/>
      <c r="L96" s="122"/>
      <c r="M96" s="122"/>
      <c r="N96" s="122"/>
      <c r="O96" s="122"/>
      <c r="P96" s="122"/>
      <c r="Q96" s="122"/>
      <c r="R96" s="122"/>
      <c r="S96" s="122"/>
      <c r="T96" s="122"/>
      <c r="U96" s="122"/>
      <c r="V96" s="122"/>
      <c r="W96" s="122"/>
      <c r="X96" s="122"/>
      <c r="Y96" s="122"/>
    </row>
    <row r="97" spans="1:25" ht="15.75" customHeight="1" x14ac:dyDescent="0.2">
      <c r="A97" s="181"/>
      <c r="B97" s="174"/>
      <c r="C97" s="175"/>
      <c r="D97" s="175"/>
      <c r="E97" s="175"/>
      <c r="F97" s="122"/>
      <c r="G97" s="122"/>
      <c r="H97" s="122"/>
      <c r="I97" s="122"/>
      <c r="J97" s="173"/>
      <c r="K97" s="181"/>
      <c r="L97" s="122"/>
      <c r="M97" s="122"/>
      <c r="N97" s="122"/>
      <c r="O97" s="122"/>
      <c r="P97" s="122"/>
      <c r="Q97" s="122"/>
      <c r="R97" s="122"/>
      <c r="S97" s="122"/>
      <c r="T97" s="122"/>
      <c r="U97" s="122"/>
      <c r="V97" s="122"/>
      <c r="W97" s="122"/>
      <c r="X97" s="122"/>
      <c r="Y97" s="122"/>
    </row>
    <row r="98" spans="1:25" ht="15.75" customHeight="1" x14ac:dyDescent="0.2">
      <c r="A98" s="181"/>
      <c r="B98" s="174"/>
      <c r="C98" s="175"/>
      <c r="D98" s="175"/>
      <c r="E98" s="175"/>
      <c r="F98" s="122"/>
      <c r="G98" s="122"/>
      <c r="H98" s="122"/>
      <c r="I98" s="122"/>
      <c r="J98" s="173"/>
      <c r="K98" s="181"/>
      <c r="L98" s="122"/>
      <c r="M98" s="122"/>
      <c r="N98" s="122"/>
      <c r="O98" s="122"/>
      <c r="P98" s="122"/>
      <c r="Q98" s="122"/>
      <c r="R98" s="122"/>
      <c r="S98" s="122"/>
      <c r="T98" s="122"/>
      <c r="U98" s="122"/>
      <c r="V98" s="122"/>
      <c r="W98" s="122"/>
      <c r="X98" s="122"/>
      <c r="Y98" s="122"/>
    </row>
    <row r="99" spans="1:25" ht="15.75" customHeight="1" x14ac:dyDescent="0.2">
      <c r="A99" s="181"/>
      <c r="B99" s="174"/>
      <c r="C99" s="175"/>
      <c r="D99" s="175"/>
      <c r="E99" s="175"/>
      <c r="F99" s="122"/>
      <c r="G99" s="122"/>
      <c r="H99" s="122"/>
      <c r="I99" s="122"/>
      <c r="J99" s="173"/>
      <c r="K99" s="181"/>
      <c r="L99" s="122"/>
      <c r="M99" s="122"/>
      <c r="N99" s="122"/>
      <c r="O99" s="122"/>
      <c r="P99" s="122"/>
      <c r="Q99" s="122"/>
      <c r="R99" s="122"/>
      <c r="S99" s="122"/>
      <c r="T99" s="122"/>
      <c r="U99" s="122"/>
      <c r="V99" s="122"/>
      <c r="W99" s="122"/>
      <c r="X99" s="122"/>
      <c r="Y99" s="122"/>
    </row>
    <row r="100" spans="1:25" ht="15.75" customHeight="1" x14ac:dyDescent="0.2">
      <c r="A100" s="181"/>
      <c r="B100" s="174"/>
      <c r="C100" s="175"/>
      <c r="D100" s="175"/>
      <c r="E100" s="175"/>
      <c r="F100" s="122"/>
      <c r="G100" s="122"/>
      <c r="H100" s="122"/>
      <c r="I100" s="122"/>
      <c r="J100" s="173"/>
      <c r="K100" s="181"/>
      <c r="L100" s="122"/>
      <c r="M100" s="122"/>
      <c r="N100" s="122"/>
      <c r="O100" s="122"/>
      <c r="P100" s="122"/>
      <c r="Q100" s="122"/>
      <c r="R100" s="122"/>
      <c r="S100" s="122"/>
      <c r="T100" s="122"/>
      <c r="U100" s="122"/>
      <c r="V100" s="122"/>
      <c r="W100" s="122"/>
      <c r="X100" s="122"/>
      <c r="Y100" s="122"/>
    </row>
    <row r="101" spans="1:25" ht="15.75" customHeight="1" x14ac:dyDescent="0.2">
      <c r="A101" s="181"/>
      <c r="B101" s="174"/>
      <c r="C101" s="175"/>
      <c r="D101" s="175"/>
      <c r="E101" s="175"/>
      <c r="F101" s="122"/>
      <c r="G101" s="122"/>
      <c r="H101" s="122"/>
      <c r="I101" s="122"/>
      <c r="J101" s="173"/>
      <c r="K101" s="181"/>
      <c r="L101" s="122"/>
      <c r="M101" s="122"/>
      <c r="N101" s="122"/>
      <c r="O101" s="122"/>
      <c r="P101" s="122"/>
      <c r="Q101" s="122"/>
      <c r="R101" s="122"/>
      <c r="S101" s="122"/>
      <c r="T101" s="122"/>
      <c r="U101" s="122"/>
      <c r="V101" s="122"/>
      <c r="W101" s="122"/>
      <c r="X101" s="122"/>
      <c r="Y101" s="122"/>
    </row>
    <row r="102" spans="1:25" ht="15.75" customHeight="1" x14ac:dyDescent="0.2">
      <c r="A102" s="181"/>
      <c r="B102" s="174"/>
      <c r="C102" s="175"/>
      <c r="D102" s="175"/>
      <c r="E102" s="175"/>
      <c r="F102" s="122"/>
      <c r="G102" s="122"/>
      <c r="H102" s="122"/>
      <c r="I102" s="122"/>
      <c r="J102" s="173"/>
      <c r="K102" s="181"/>
      <c r="L102" s="122"/>
      <c r="M102" s="122"/>
      <c r="N102" s="122"/>
      <c r="O102" s="122"/>
      <c r="P102" s="122"/>
      <c r="Q102" s="122"/>
      <c r="R102" s="122"/>
      <c r="S102" s="122"/>
      <c r="T102" s="122"/>
      <c r="U102" s="122"/>
      <c r="V102" s="122"/>
      <c r="W102" s="122"/>
      <c r="X102" s="122"/>
      <c r="Y102" s="122"/>
    </row>
    <row r="103" spans="1:25" ht="15.75" customHeight="1" x14ac:dyDescent="0.2">
      <c r="A103" s="181"/>
      <c r="B103" s="174"/>
      <c r="C103" s="175"/>
      <c r="D103" s="175"/>
      <c r="E103" s="175"/>
      <c r="F103" s="122"/>
      <c r="G103" s="122"/>
      <c r="H103" s="122"/>
      <c r="I103" s="122"/>
      <c r="J103" s="173"/>
      <c r="K103" s="181"/>
      <c r="L103" s="122"/>
      <c r="M103" s="122"/>
      <c r="N103" s="122"/>
      <c r="O103" s="122"/>
      <c r="P103" s="122"/>
      <c r="Q103" s="122"/>
      <c r="R103" s="122"/>
      <c r="S103" s="122"/>
      <c r="T103" s="122"/>
      <c r="U103" s="122"/>
      <c r="V103" s="122"/>
      <c r="W103" s="122"/>
      <c r="X103" s="122"/>
      <c r="Y103" s="122"/>
    </row>
    <row r="104" spans="1:25" ht="15.75" customHeight="1" x14ac:dyDescent="0.2">
      <c r="A104" s="181"/>
      <c r="B104" s="174"/>
      <c r="C104" s="175"/>
      <c r="D104" s="175"/>
      <c r="E104" s="175"/>
      <c r="F104" s="122"/>
      <c r="G104" s="122"/>
      <c r="H104" s="122"/>
      <c r="I104" s="122"/>
      <c r="J104" s="173"/>
      <c r="K104" s="181"/>
      <c r="L104" s="122"/>
      <c r="M104" s="122"/>
      <c r="N104" s="122"/>
      <c r="O104" s="122"/>
      <c r="P104" s="122"/>
      <c r="Q104" s="122"/>
      <c r="R104" s="122"/>
      <c r="S104" s="122"/>
      <c r="T104" s="122"/>
      <c r="U104" s="122"/>
      <c r="V104" s="122"/>
      <c r="W104" s="122"/>
      <c r="X104" s="122"/>
      <c r="Y104" s="122"/>
    </row>
    <row r="105" spans="1:25" ht="15.75" customHeight="1" x14ac:dyDescent="0.2">
      <c r="A105" s="181"/>
      <c r="B105" s="174"/>
      <c r="C105" s="175"/>
      <c r="D105" s="175"/>
      <c r="E105" s="175"/>
      <c r="F105" s="122"/>
      <c r="G105" s="122"/>
      <c r="H105" s="122"/>
      <c r="I105" s="122"/>
      <c r="J105" s="173"/>
      <c r="K105" s="181"/>
      <c r="L105" s="122"/>
      <c r="M105" s="122"/>
      <c r="N105" s="122"/>
      <c r="O105" s="122"/>
      <c r="P105" s="122"/>
      <c r="Q105" s="122"/>
      <c r="R105" s="122"/>
      <c r="S105" s="122"/>
      <c r="T105" s="122"/>
      <c r="U105" s="122"/>
      <c r="V105" s="122"/>
      <c r="W105" s="122"/>
      <c r="X105" s="122"/>
      <c r="Y105" s="122"/>
    </row>
    <row r="106" spans="1:25" ht="15.75" customHeight="1" x14ac:dyDescent="0.2">
      <c r="A106" s="181"/>
      <c r="B106" s="174"/>
      <c r="C106" s="175"/>
      <c r="D106" s="175"/>
      <c r="E106" s="175"/>
      <c r="F106" s="122"/>
      <c r="G106" s="122"/>
      <c r="H106" s="122"/>
      <c r="I106" s="122"/>
      <c r="J106" s="173"/>
      <c r="K106" s="181"/>
      <c r="L106" s="122"/>
      <c r="M106" s="122"/>
      <c r="N106" s="122"/>
      <c r="O106" s="122"/>
      <c r="P106" s="122"/>
      <c r="Q106" s="122"/>
      <c r="R106" s="122"/>
      <c r="S106" s="122"/>
      <c r="T106" s="122"/>
      <c r="U106" s="122"/>
      <c r="V106" s="122"/>
      <c r="W106" s="122"/>
      <c r="X106" s="122"/>
      <c r="Y106" s="122"/>
    </row>
    <row r="107" spans="1:25" ht="15.75" customHeight="1" x14ac:dyDescent="0.2">
      <c r="A107" s="181"/>
      <c r="B107" s="174"/>
      <c r="C107" s="175"/>
      <c r="D107" s="175"/>
      <c r="E107" s="175"/>
      <c r="F107" s="122"/>
      <c r="G107" s="122"/>
      <c r="H107" s="122"/>
      <c r="I107" s="122"/>
      <c r="J107" s="173"/>
      <c r="K107" s="181"/>
      <c r="L107" s="122"/>
      <c r="M107" s="122"/>
      <c r="N107" s="122"/>
      <c r="O107" s="122"/>
      <c r="P107" s="122"/>
      <c r="Q107" s="122"/>
      <c r="R107" s="122"/>
      <c r="S107" s="122"/>
      <c r="T107" s="122"/>
      <c r="U107" s="122"/>
      <c r="V107" s="122"/>
      <c r="W107" s="122"/>
      <c r="X107" s="122"/>
      <c r="Y107" s="122"/>
    </row>
    <row r="108" spans="1:25" ht="15.75" customHeight="1" x14ac:dyDescent="0.2">
      <c r="A108" s="181"/>
      <c r="B108" s="174"/>
      <c r="C108" s="175"/>
      <c r="D108" s="175"/>
      <c r="E108" s="175"/>
      <c r="F108" s="122"/>
      <c r="G108" s="122"/>
      <c r="H108" s="122"/>
      <c r="I108" s="122"/>
      <c r="J108" s="173"/>
      <c r="K108" s="181"/>
      <c r="L108" s="122"/>
      <c r="M108" s="122"/>
      <c r="N108" s="122"/>
      <c r="O108" s="122"/>
      <c r="P108" s="122"/>
      <c r="Q108" s="122"/>
      <c r="R108" s="122"/>
      <c r="S108" s="122"/>
      <c r="T108" s="122"/>
      <c r="U108" s="122"/>
      <c r="V108" s="122"/>
      <c r="W108" s="122"/>
      <c r="X108" s="122"/>
      <c r="Y108" s="122"/>
    </row>
    <row r="109" spans="1:25" ht="15.75" customHeight="1" x14ac:dyDescent="0.2">
      <c r="A109" s="181"/>
      <c r="B109" s="174"/>
      <c r="C109" s="175"/>
      <c r="D109" s="175"/>
      <c r="E109" s="175"/>
      <c r="F109" s="122"/>
      <c r="G109" s="122"/>
      <c r="H109" s="122"/>
      <c r="I109" s="122"/>
      <c r="J109" s="173"/>
      <c r="K109" s="181"/>
      <c r="L109" s="122"/>
      <c r="M109" s="122"/>
      <c r="N109" s="122"/>
      <c r="O109" s="122"/>
      <c r="P109" s="122"/>
      <c r="Q109" s="122"/>
      <c r="R109" s="122"/>
      <c r="S109" s="122"/>
      <c r="T109" s="122"/>
      <c r="U109" s="122"/>
      <c r="V109" s="122"/>
      <c r="W109" s="122"/>
      <c r="X109" s="122"/>
      <c r="Y109" s="122"/>
    </row>
    <row r="110" spans="1:25" ht="15.75" customHeight="1" x14ac:dyDescent="0.2">
      <c r="A110" s="181"/>
      <c r="B110" s="174"/>
      <c r="C110" s="175"/>
      <c r="D110" s="175"/>
      <c r="E110" s="175"/>
      <c r="F110" s="122"/>
      <c r="G110" s="122"/>
      <c r="H110" s="122"/>
      <c r="I110" s="122"/>
      <c r="J110" s="173"/>
      <c r="K110" s="181"/>
      <c r="L110" s="122"/>
      <c r="M110" s="122"/>
      <c r="N110" s="122"/>
      <c r="O110" s="122"/>
      <c r="P110" s="122"/>
      <c r="Q110" s="122"/>
      <c r="R110" s="122"/>
      <c r="S110" s="122"/>
      <c r="T110" s="122"/>
      <c r="U110" s="122"/>
      <c r="V110" s="122"/>
      <c r="W110" s="122"/>
      <c r="X110" s="122"/>
      <c r="Y110" s="122"/>
    </row>
    <row r="111" spans="1:25" ht="15.75" customHeight="1" x14ac:dyDescent="0.2">
      <c r="A111" s="181"/>
      <c r="B111" s="174"/>
      <c r="C111" s="175"/>
      <c r="D111" s="175"/>
      <c r="E111" s="175"/>
      <c r="F111" s="122"/>
      <c r="G111" s="122"/>
      <c r="H111" s="122"/>
      <c r="I111" s="122"/>
      <c r="J111" s="173"/>
      <c r="K111" s="181"/>
      <c r="L111" s="122"/>
      <c r="M111" s="122"/>
      <c r="N111" s="122"/>
      <c r="O111" s="122"/>
      <c r="P111" s="122"/>
      <c r="Q111" s="122"/>
      <c r="R111" s="122"/>
      <c r="S111" s="122"/>
      <c r="T111" s="122"/>
      <c r="U111" s="122"/>
      <c r="V111" s="122"/>
      <c r="W111" s="122"/>
      <c r="X111" s="122"/>
      <c r="Y111" s="122"/>
    </row>
    <row r="112" spans="1:25" ht="15.75" customHeight="1" x14ac:dyDescent="0.2">
      <c r="A112" s="181"/>
      <c r="B112" s="174"/>
      <c r="C112" s="175"/>
      <c r="D112" s="175"/>
      <c r="E112" s="175"/>
      <c r="F112" s="122"/>
      <c r="G112" s="122"/>
      <c r="H112" s="122"/>
      <c r="I112" s="122"/>
      <c r="J112" s="173"/>
      <c r="K112" s="181"/>
      <c r="L112" s="122"/>
      <c r="M112" s="122"/>
      <c r="N112" s="122"/>
      <c r="O112" s="122"/>
      <c r="P112" s="122"/>
      <c r="Q112" s="122"/>
      <c r="R112" s="122"/>
      <c r="S112" s="122"/>
      <c r="T112" s="122"/>
      <c r="U112" s="122"/>
      <c r="V112" s="122"/>
      <c r="W112" s="122"/>
      <c r="X112" s="122"/>
      <c r="Y112" s="122"/>
    </row>
    <row r="113" spans="1:25" ht="15.75" customHeight="1" x14ac:dyDescent="0.2">
      <c r="A113" s="181"/>
      <c r="B113" s="174"/>
      <c r="C113" s="175"/>
      <c r="D113" s="175"/>
      <c r="E113" s="175"/>
      <c r="F113" s="122"/>
      <c r="G113" s="122"/>
      <c r="H113" s="122"/>
      <c r="I113" s="122"/>
      <c r="J113" s="173"/>
      <c r="K113" s="181"/>
      <c r="L113" s="122"/>
      <c r="M113" s="122"/>
      <c r="N113" s="122"/>
      <c r="O113" s="122"/>
      <c r="P113" s="122"/>
      <c r="Q113" s="122"/>
      <c r="R113" s="122"/>
      <c r="S113" s="122"/>
      <c r="T113" s="122"/>
      <c r="U113" s="122"/>
      <c r="V113" s="122"/>
      <c r="W113" s="122"/>
      <c r="X113" s="122"/>
      <c r="Y113" s="122"/>
    </row>
    <row r="114" spans="1:25" ht="15.75" customHeight="1" x14ac:dyDescent="0.2">
      <c r="A114" s="181"/>
      <c r="B114" s="174"/>
      <c r="C114" s="175"/>
      <c r="D114" s="175"/>
      <c r="E114" s="175"/>
      <c r="F114" s="122"/>
      <c r="G114" s="122"/>
      <c r="H114" s="122"/>
      <c r="I114" s="122"/>
      <c r="J114" s="173"/>
      <c r="K114" s="181"/>
      <c r="L114" s="122"/>
      <c r="M114" s="122"/>
      <c r="N114" s="122"/>
      <c r="O114" s="122"/>
      <c r="P114" s="122"/>
      <c r="Q114" s="122"/>
      <c r="R114" s="122"/>
      <c r="S114" s="122"/>
      <c r="T114" s="122"/>
      <c r="U114" s="122"/>
      <c r="V114" s="122"/>
      <c r="W114" s="122"/>
      <c r="X114" s="122"/>
      <c r="Y114" s="122"/>
    </row>
    <row r="115" spans="1:25" ht="15.75" customHeight="1" x14ac:dyDescent="0.2">
      <c r="A115" s="181"/>
      <c r="B115" s="174"/>
      <c r="C115" s="175"/>
      <c r="D115" s="175"/>
      <c r="E115" s="175"/>
      <c r="F115" s="122"/>
      <c r="G115" s="122"/>
      <c r="H115" s="122"/>
      <c r="I115" s="122"/>
      <c r="J115" s="173"/>
      <c r="K115" s="181"/>
      <c r="L115" s="122"/>
      <c r="M115" s="122"/>
      <c r="N115" s="122"/>
      <c r="O115" s="122"/>
      <c r="P115" s="122"/>
      <c r="Q115" s="122"/>
      <c r="R115" s="122"/>
      <c r="S115" s="122"/>
      <c r="T115" s="122"/>
      <c r="U115" s="122"/>
      <c r="V115" s="122"/>
      <c r="W115" s="122"/>
      <c r="X115" s="122"/>
      <c r="Y115" s="122"/>
    </row>
    <row r="116" spans="1:25" ht="15.75" customHeight="1" x14ac:dyDescent="0.2">
      <c r="A116" s="181"/>
      <c r="B116" s="174"/>
      <c r="C116" s="175"/>
      <c r="D116" s="175"/>
      <c r="E116" s="175"/>
      <c r="F116" s="122"/>
      <c r="G116" s="122"/>
      <c r="H116" s="122"/>
      <c r="I116" s="122"/>
      <c r="J116" s="173"/>
      <c r="K116" s="181"/>
      <c r="L116" s="122"/>
      <c r="M116" s="122"/>
      <c r="N116" s="122"/>
      <c r="O116" s="122"/>
      <c r="P116" s="122"/>
      <c r="Q116" s="122"/>
      <c r="R116" s="122"/>
      <c r="S116" s="122"/>
      <c r="T116" s="122"/>
      <c r="U116" s="122"/>
      <c r="V116" s="122"/>
      <c r="W116" s="122"/>
      <c r="X116" s="122"/>
      <c r="Y116" s="122"/>
    </row>
    <row r="117" spans="1:25" ht="15.75" customHeight="1" x14ac:dyDescent="0.2">
      <c r="A117" s="181"/>
      <c r="B117" s="174"/>
      <c r="C117" s="175"/>
      <c r="D117" s="175"/>
      <c r="E117" s="175"/>
      <c r="F117" s="122"/>
      <c r="G117" s="122"/>
      <c r="H117" s="122"/>
      <c r="I117" s="122"/>
      <c r="J117" s="173"/>
      <c r="K117" s="181"/>
      <c r="L117" s="122"/>
      <c r="M117" s="122"/>
      <c r="N117" s="122"/>
      <c r="O117" s="122"/>
      <c r="P117" s="122"/>
      <c r="Q117" s="122"/>
      <c r="R117" s="122"/>
      <c r="S117" s="122"/>
      <c r="T117" s="122"/>
      <c r="U117" s="122"/>
      <c r="V117" s="122"/>
      <c r="W117" s="122"/>
      <c r="X117" s="122"/>
      <c r="Y117" s="122"/>
    </row>
    <row r="118" spans="1:25" ht="15.75" customHeight="1" x14ac:dyDescent="0.2">
      <c r="A118" s="181"/>
      <c r="B118" s="174"/>
      <c r="C118" s="175"/>
      <c r="D118" s="175"/>
      <c r="E118" s="175"/>
      <c r="F118" s="122"/>
      <c r="G118" s="122"/>
      <c r="H118" s="122"/>
      <c r="I118" s="122"/>
      <c r="J118" s="173"/>
      <c r="K118" s="181"/>
      <c r="L118" s="122"/>
      <c r="M118" s="122"/>
      <c r="N118" s="122"/>
      <c r="O118" s="122"/>
      <c r="P118" s="122"/>
      <c r="Q118" s="122"/>
      <c r="R118" s="122"/>
      <c r="S118" s="122"/>
      <c r="T118" s="122"/>
      <c r="U118" s="122"/>
      <c r="V118" s="122"/>
      <c r="W118" s="122"/>
      <c r="X118" s="122"/>
      <c r="Y118" s="122"/>
    </row>
    <row r="119" spans="1:25" ht="15.75" customHeight="1" x14ac:dyDescent="0.2">
      <c r="A119" s="181"/>
      <c r="B119" s="174"/>
      <c r="C119" s="175"/>
      <c r="D119" s="175"/>
      <c r="E119" s="175"/>
      <c r="F119" s="122"/>
      <c r="G119" s="122"/>
      <c r="H119" s="122"/>
      <c r="I119" s="122"/>
      <c r="J119" s="173"/>
      <c r="K119" s="181"/>
      <c r="L119" s="122"/>
      <c r="M119" s="122"/>
      <c r="N119" s="122"/>
      <c r="O119" s="122"/>
      <c r="P119" s="122"/>
      <c r="Q119" s="122"/>
      <c r="R119" s="122"/>
      <c r="S119" s="122"/>
      <c r="T119" s="122"/>
      <c r="U119" s="122"/>
      <c r="V119" s="122"/>
      <c r="W119" s="122"/>
      <c r="X119" s="122"/>
      <c r="Y119" s="122"/>
    </row>
    <row r="120" spans="1:25" ht="15.75" customHeight="1" x14ac:dyDescent="0.2">
      <c r="A120" s="181"/>
      <c r="B120" s="174"/>
      <c r="C120" s="175"/>
      <c r="D120" s="175"/>
      <c r="E120" s="175"/>
      <c r="F120" s="122"/>
      <c r="G120" s="122"/>
      <c r="H120" s="122"/>
      <c r="I120" s="122"/>
      <c r="J120" s="173"/>
      <c r="K120" s="181"/>
      <c r="L120" s="122"/>
      <c r="M120" s="122"/>
      <c r="N120" s="122"/>
      <c r="O120" s="122"/>
      <c r="P120" s="122"/>
      <c r="Q120" s="122"/>
      <c r="R120" s="122"/>
      <c r="S120" s="122"/>
      <c r="T120" s="122"/>
      <c r="U120" s="122"/>
      <c r="V120" s="122"/>
      <c r="W120" s="122"/>
      <c r="X120" s="122"/>
      <c r="Y120" s="122"/>
    </row>
    <row r="121" spans="1:25" ht="15.75" customHeight="1" x14ac:dyDescent="0.2">
      <c r="A121" s="181"/>
      <c r="B121" s="174"/>
      <c r="C121" s="175"/>
      <c r="D121" s="175"/>
      <c r="E121" s="175"/>
      <c r="F121" s="122"/>
      <c r="G121" s="122"/>
      <c r="H121" s="122"/>
      <c r="I121" s="122"/>
      <c r="J121" s="173"/>
      <c r="K121" s="181"/>
      <c r="L121" s="122"/>
      <c r="M121" s="122"/>
      <c r="N121" s="122"/>
      <c r="O121" s="122"/>
      <c r="P121" s="122"/>
      <c r="Q121" s="122"/>
      <c r="R121" s="122"/>
      <c r="S121" s="122"/>
      <c r="T121" s="122"/>
      <c r="U121" s="122"/>
      <c r="V121" s="122"/>
      <c r="W121" s="122"/>
      <c r="X121" s="122"/>
      <c r="Y121" s="122"/>
    </row>
    <row r="122" spans="1:25" ht="15.75" customHeight="1" x14ac:dyDescent="0.2">
      <c r="A122" s="181"/>
      <c r="B122" s="174"/>
      <c r="C122" s="175"/>
      <c r="D122" s="175"/>
      <c r="E122" s="175"/>
      <c r="F122" s="122"/>
      <c r="G122" s="122"/>
      <c r="H122" s="122"/>
      <c r="I122" s="122"/>
      <c r="J122" s="173"/>
      <c r="K122" s="181"/>
      <c r="L122" s="122"/>
      <c r="M122" s="122"/>
      <c r="N122" s="122"/>
      <c r="O122" s="122"/>
      <c r="P122" s="122"/>
      <c r="Q122" s="122"/>
      <c r="R122" s="122"/>
      <c r="S122" s="122"/>
      <c r="T122" s="122"/>
      <c r="U122" s="122"/>
      <c r="V122" s="122"/>
      <c r="W122" s="122"/>
      <c r="X122" s="122"/>
      <c r="Y122" s="122"/>
    </row>
    <row r="123" spans="1:25" ht="15.75" customHeight="1" x14ac:dyDescent="0.2">
      <c r="A123" s="181"/>
      <c r="B123" s="174"/>
      <c r="C123" s="175"/>
      <c r="D123" s="175"/>
      <c r="E123" s="175"/>
      <c r="F123" s="122"/>
      <c r="G123" s="122"/>
      <c r="H123" s="122"/>
      <c r="I123" s="122"/>
      <c r="J123" s="173"/>
      <c r="K123" s="181"/>
      <c r="L123" s="122"/>
      <c r="M123" s="122"/>
      <c r="N123" s="122"/>
      <c r="O123" s="122"/>
      <c r="P123" s="122"/>
      <c r="Q123" s="122"/>
      <c r="R123" s="122"/>
      <c r="S123" s="122"/>
      <c r="T123" s="122"/>
      <c r="U123" s="122"/>
      <c r="V123" s="122"/>
      <c r="W123" s="122"/>
      <c r="X123" s="122"/>
      <c r="Y123" s="122"/>
    </row>
    <row r="124" spans="1:25" ht="15.75" customHeight="1" x14ac:dyDescent="0.2">
      <c r="A124" s="181"/>
      <c r="B124" s="174"/>
      <c r="C124" s="175"/>
      <c r="D124" s="175"/>
      <c r="E124" s="175"/>
      <c r="F124" s="122"/>
      <c r="G124" s="122"/>
      <c r="H124" s="122"/>
      <c r="I124" s="122"/>
      <c r="J124" s="173"/>
      <c r="K124" s="181"/>
      <c r="L124" s="122"/>
      <c r="M124" s="122"/>
      <c r="N124" s="122"/>
      <c r="O124" s="122"/>
      <c r="P124" s="122"/>
      <c r="Q124" s="122"/>
      <c r="R124" s="122"/>
      <c r="S124" s="122"/>
      <c r="T124" s="122"/>
      <c r="U124" s="122"/>
      <c r="V124" s="122"/>
      <c r="W124" s="122"/>
      <c r="X124" s="122"/>
      <c r="Y124" s="122"/>
    </row>
    <row r="125" spans="1:25" ht="15.75" customHeight="1" x14ac:dyDescent="0.2">
      <c r="A125" s="181"/>
      <c r="B125" s="174"/>
      <c r="C125" s="175"/>
      <c r="D125" s="175"/>
      <c r="E125" s="175"/>
      <c r="F125" s="122"/>
      <c r="G125" s="122"/>
      <c r="H125" s="122"/>
      <c r="I125" s="122"/>
      <c r="J125" s="173"/>
      <c r="K125" s="181"/>
      <c r="L125" s="122"/>
      <c r="M125" s="122"/>
      <c r="N125" s="122"/>
      <c r="O125" s="122"/>
      <c r="P125" s="122"/>
      <c r="Q125" s="122"/>
      <c r="R125" s="122"/>
      <c r="S125" s="122"/>
      <c r="T125" s="122"/>
      <c r="U125" s="122"/>
      <c r="V125" s="122"/>
      <c r="W125" s="122"/>
      <c r="X125" s="122"/>
      <c r="Y125" s="122"/>
    </row>
    <row r="126" spans="1:25" ht="15.75" customHeight="1" x14ac:dyDescent="0.2">
      <c r="A126" s="181"/>
      <c r="B126" s="174"/>
      <c r="C126" s="175"/>
      <c r="D126" s="175"/>
      <c r="E126" s="175"/>
      <c r="F126" s="122"/>
      <c r="G126" s="122"/>
      <c r="H126" s="122"/>
      <c r="I126" s="122"/>
      <c r="J126" s="173"/>
      <c r="K126" s="181"/>
      <c r="L126" s="122"/>
      <c r="M126" s="122"/>
      <c r="N126" s="122"/>
      <c r="O126" s="122"/>
      <c r="P126" s="122"/>
      <c r="Q126" s="122"/>
      <c r="R126" s="122"/>
      <c r="S126" s="122"/>
      <c r="T126" s="122"/>
      <c r="U126" s="122"/>
      <c r="V126" s="122"/>
      <c r="W126" s="122"/>
      <c r="X126" s="122"/>
      <c r="Y126" s="122"/>
    </row>
    <row r="127" spans="1:25" ht="15.75" customHeight="1" x14ac:dyDescent="0.2">
      <c r="A127" s="181"/>
      <c r="B127" s="174"/>
      <c r="C127" s="175"/>
      <c r="D127" s="175"/>
      <c r="E127" s="175"/>
      <c r="F127" s="122"/>
      <c r="G127" s="122"/>
      <c r="H127" s="122"/>
      <c r="I127" s="122"/>
      <c r="J127" s="173"/>
      <c r="K127" s="181"/>
      <c r="L127" s="122"/>
      <c r="M127" s="122"/>
      <c r="N127" s="122"/>
      <c r="O127" s="122"/>
      <c r="P127" s="122"/>
      <c r="Q127" s="122"/>
      <c r="R127" s="122"/>
      <c r="S127" s="122"/>
      <c r="T127" s="122"/>
      <c r="U127" s="122"/>
      <c r="V127" s="122"/>
      <c r="W127" s="122"/>
      <c r="X127" s="122"/>
      <c r="Y127" s="122"/>
    </row>
    <row r="128" spans="1:25" ht="15.75" customHeight="1" x14ac:dyDescent="0.2">
      <c r="A128" s="181"/>
      <c r="B128" s="174"/>
      <c r="C128" s="175"/>
      <c r="D128" s="175"/>
      <c r="E128" s="175"/>
      <c r="F128" s="122"/>
      <c r="G128" s="122"/>
      <c r="H128" s="122"/>
      <c r="I128" s="122"/>
      <c r="J128" s="173"/>
      <c r="K128" s="181"/>
      <c r="L128" s="122"/>
      <c r="M128" s="122"/>
      <c r="N128" s="122"/>
      <c r="O128" s="122"/>
      <c r="P128" s="122"/>
      <c r="Q128" s="122"/>
      <c r="R128" s="122"/>
      <c r="S128" s="122"/>
      <c r="T128" s="122"/>
      <c r="U128" s="122"/>
      <c r="V128" s="122"/>
      <c r="W128" s="122"/>
      <c r="X128" s="122"/>
      <c r="Y128" s="122"/>
    </row>
    <row r="129" spans="1:25" ht="15.75" customHeight="1" x14ac:dyDescent="0.2">
      <c r="A129" s="181"/>
      <c r="B129" s="174"/>
      <c r="C129" s="175"/>
      <c r="D129" s="175"/>
      <c r="E129" s="175"/>
      <c r="F129" s="122"/>
      <c r="G129" s="122"/>
      <c r="H129" s="122"/>
      <c r="I129" s="122"/>
      <c r="J129" s="173"/>
      <c r="K129" s="181"/>
      <c r="L129" s="122"/>
      <c r="M129" s="122"/>
      <c r="N129" s="122"/>
      <c r="O129" s="122"/>
      <c r="P129" s="122"/>
      <c r="Q129" s="122"/>
      <c r="R129" s="122"/>
      <c r="S129" s="122"/>
      <c r="T129" s="122"/>
      <c r="U129" s="122"/>
      <c r="V129" s="122"/>
      <c r="W129" s="122"/>
      <c r="X129" s="122"/>
      <c r="Y129" s="122"/>
    </row>
    <row r="130" spans="1:25" ht="15.75" customHeight="1" x14ac:dyDescent="0.2">
      <c r="A130" s="181"/>
      <c r="B130" s="174"/>
      <c r="C130" s="175"/>
      <c r="D130" s="175"/>
      <c r="E130" s="175"/>
      <c r="F130" s="122"/>
      <c r="G130" s="122"/>
      <c r="H130" s="122"/>
      <c r="I130" s="122"/>
      <c r="J130" s="173"/>
      <c r="K130" s="181"/>
      <c r="L130" s="122"/>
      <c r="M130" s="122"/>
      <c r="N130" s="122"/>
      <c r="O130" s="122"/>
      <c r="P130" s="122"/>
      <c r="Q130" s="122"/>
      <c r="R130" s="122"/>
      <c r="S130" s="122"/>
      <c r="T130" s="122"/>
      <c r="U130" s="122"/>
      <c r="V130" s="122"/>
      <c r="W130" s="122"/>
      <c r="X130" s="122"/>
      <c r="Y130" s="122"/>
    </row>
    <row r="131" spans="1:25" ht="15.75" customHeight="1" x14ac:dyDescent="0.2">
      <c r="A131" s="181"/>
      <c r="B131" s="174"/>
      <c r="C131" s="175"/>
      <c r="D131" s="175"/>
      <c r="E131" s="175"/>
      <c r="F131" s="122"/>
      <c r="G131" s="122"/>
      <c r="H131" s="122"/>
      <c r="I131" s="122"/>
      <c r="J131" s="173"/>
      <c r="K131" s="181"/>
      <c r="L131" s="122"/>
      <c r="M131" s="122"/>
      <c r="N131" s="122"/>
      <c r="O131" s="122"/>
      <c r="P131" s="122"/>
      <c r="Q131" s="122"/>
      <c r="R131" s="122"/>
      <c r="S131" s="122"/>
      <c r="T131" s="122"/>
      <c r="U131" s="122"/>
      <c r="V131" s="122"/>
      <c r="W131" s="122"/>
      <c r="X131" s="122"/>
      <c r="Y131" s="122"/>
    </row>
    <row r="132" spans="1:25" ht="15.75" customHeight="1" x14ac:dyDescent="0.2">
      <c r="A132" s="181"/>
      <c r="B132" s="174"/>
      <c r="C132" s="175"/>
      <c r="D132" s="175"/>
      <c r="E132" s="175"/>
      <c r="F132" s="122"/>
      <c r="G132" s="122"/>
      <c r="H132" s="122"/>
      <c r="I132" s="122"/>
      <c r="J132" s="173"/>
      <c r="K132" s="181"/>
      <c r="L132" s="122"/>
      <c r="M132" s="122"/>
      <c r="N132" s="122"/>
      <c r="O132" s="122"/>
      <c r="P132" s="122"/>
      <c r="Q132" s="122"/>
      <c r="R132" s="122"/>
      <c r="S132" s="122"/>
      <c r="T132" s="122"/>
      <c r="U132" s="122"/>
      <c r="V132" s="122"/>
      <c r="W132" s="122"/>
      <c r="X132" s="122"/>
      <c r="Y132" s="122"/>
    </row>
    <row r="133" spans="1:25" ht="15.75" customHeight="1" x14ac:dyDescent="0.2">
      <c r="A133" s="181"/>
      <c r="B133" s="174"/>
      <c r="C133" s="175"/>
      <c r="D133" s="175"/>
      <c r="E133" s="175"/>
      <c r="F133" s="122"/>
      <c r="G133" s="122"/>
      <c r="H133" s="122"/>
      <c r="I133" s="122"/>
      <c r="J133" s="173"/>
      <c r="K133" s="181"/>
      <c r="L133" s="122"/>
      <c r="M133" s="122"/>
      <c r="N133" s="122"/>
      <c r="O133" s="122"/>
      <c r="P133" s="122"/>
      <c r="Q133" s="122"/>
      <c r="R133" s="122"/>
      <c r="S133" s="122"/>
      <c r="T133" s="122"/>
      <c r="U133" s="122"/>
      <c r="V133" s="122"/>
      <c r="W133" s="122"/>
      <c r="X133" s="122"/>
      <c r="Y133" s="122"/>
    </row>
    <row r="134" spans="1:25" ht="15.75" customHeight="1" x14ac:dyDescent="0.2">
      <c r="A134" s="181"/>
      <c r="B134" s="174"/>
      <c r="C134" s="175"/>
      <c r="D134" s="175"/>
      <c r="E134" s="175"/>
      <c r="F134" s="122"/>
      <c r="G134" s="122"/>
      <c r="H134" s="122"/>
      <c r="I134" s="122"/>
      <c r="J134" s="173"/>
      <c r="K134" s="181"/>
      <c r="L134" s="122"/>
      <c r="M134" s="122"/>
      <c r="N134" s="122"/>
      <c r="O134" s="122"/>
      <c r="P134" s="122"/>
      <c r="Q134" s="122"/>
      <c r="R134" s="122"/>
      <c r="S134" s="122"/>
      <c r="T134" s="122"/>
      <c r="U134" s="122"/>
      <c r="V134" s="122"/>
      <c r="W134" s="122"/>
      <c r="X134" s="122"/>
      <c r="Y134" s="122"/>
    </row>
    <row r="135" spans="1:25" ht="15.75" customHeight="1" x14ac:dyDescent="0.2">
      <c r="A135" s="181"/>
      <c r="B135" s="174"/>
      <c r="C135" s="175"/>
      <c r="D135" s="175"/>
      <c r="E135" s="175"/>
      <c r="F135" s="122"/>
      <c r="G135" s="122"/>
      <c r="H135" s="122"/>
      <c r="I135" s="122"/>
      <c r="J135" s="173"/>
      <c r="K135" s="181"/>
      <c r="L135" s="122"/>
      <c r="M135" s="122"/>
      <c r="N135" s="122"/>
      <c r="O135" s="122"/>
      <c r="P135" s="122"/>
      <c r="Q135" s="122"/>
      <c r="R135" s="122"/>
      <c r="S135" s="122"/>
      <c r="T135" s="122"/>
      <c r="U135" s="122"/>
      <c r="V135" s="122"/>
      <c r="W135" s="122"/>
      <c r="X135" s="122"/>
      <c r="Y135" s="122"/>
    </row>
    <row r="136" spans="1:25" ht="15.75" customHeight="1" x14ac:dyDescent="0.2">
      <c r="A136" s="181"/>
      <c r="B136" s="174"/>
      <c r="C136" s="175"/>
      <c r="D136" s="175"/>
      <c r="E136" s="175"/>
      <c r="F136" s="122"/>
      <c r="G136" s="122"/>
      <c r="H136" s="122"/>
      <c r="I136" s="122"/>
      <c r="J136" s="173"/>
      <c r="K136" s="181"/>
      <c r="L136" s="122"/>
      <c r="M136" s="122"/>
      <c r="N136" s="122"/>
      <c r="O136" s="122"/>
      <c r="P136" s="122"/>
      <c r="Q136" s="122"/>
      <c r="R136" s="122"/>
      <c r="S136" s="122"/>
      <c r="T136" s="122"/>
      <c r="U136" s="122"/>
      <c r="V136" s="122"/>
      <c r="W136" s="122"/>
      <c r="X136" s="122"/>
      <c r="Y136" s="122"/>
    </row>
    <row r="137" spans="1:25" ht="15.75" customHeight="1" x14ac:dyDescent="0.2">
      <c r="A137" s="181"/>
      <c r="B137" s="174"/>
      <c r="C137" s="175"/>
      <c r="D137" s="175"/>
      <c r="E137" s="175"/>
      <c r="F137" s="122"/>
      <c r="G137" s="122"/>
      <c r="H137" s="122"/>
      <c r="I137" s="122"/>
      <c r="J137" s="173"/>
      <c r="K137" s="181"/>
      <c r="L137" s="122"/>
      <c r="M137" s="122"/>
      <c r="N137" s="122"/>
      <c r="O137" s="122"/>
      <c r="P137" s="122"/>
      <c r="Q137" s="122"/>
      <c r="R137" s="122"/>
      <c r="S137" s="122"/>
      <c r="T137" s="122"/>
      <c r="U137" s="122"/>
      <c r="V137" s="122"/>
      <c r="W137" s="122"/>
      <c r="X137" s="122"/>
      <c r="Y137" s="122"/>
    </row>
    <row r="138" spans="1:25" ht="15.75" customHeight="1" x14ac:dyDescent="0.2">
      <c r="A138" s="181"/>
      <c r="B138" s="174"/>
      <c r="C138" s="175"/>
      <c r="D138" s="175"/>
      <c r="E138" s="175"/>
      <c r="F138" s="122"/>
      <c r="G138" s="122"/>
      <c r="H138" s="122"/>
      <c r="I138" s="122"/>
      <c r="J138" s="173"/>
      <c r="K138" s="181"/>
      <c r="L138" s="122"/>
      <c r="M138" s="122"/>
      <c r="N138" s="122"/>
      <c r="O138" s="122"/>
      <c r="P138" s="122"/>
      <c r="Q138" s="122"/>
      <c r="R138" s="122"/>
      <c r="S138" s="122"/>
      <c r="T138" s="122"/>
      <c r="U138" s="122"/>
      <c r="V138" s="122"/>
      <c r="W138" s="122"/>
      <c r="X138" s="122"/>
      <c r="Y138" s="122"/>
    </row>
    <row r="139" spans="1:25" ht="15.75" customHeight="1" x14ac:dyDescent="0.2">
      <c r="A139" s="181"/>
      <c r="B139" s="174"/>
      <c r="C139" s="175"/>
      <c r="D139" s="175"/>
      <c r="E139" s="175"/>
      <c r="F139" s="122"/>
      <c r="G139" s="122"/>
      <c r="H139" s="122"/>
      <c r="I139" s="122"/>
      <c r="J139" s="173"/>
      <c r="K139" s="181"/>
      <c r="L139" s="122"/>
      <c r="M139" s="122"/>
      <c r="N139" s="122"/>
      <c r="O139" s="122"/>
      <c r="P139" s="122"/>
      <c r="Q139" s="122"/>
      <c r="R139" s="122"/>
      <c r="S139" s="122"/>
      <c r="T139" s="122"/>
      <c r="U139" s="122"/>
      <c r="V139" s="122"/>
      <c r="W139" s="122"/>
      <c r="X139" s="122"/>
      <c r="Y139" s="122"/>
    </row>
    <row r="140" spans="1:25" ht="15.75" customHeight="1" x14ac:dyDescent="0.2">
      <c r="A140" s="181"/>
      <c r="B140" s="174"/>
      <c r="C140" s="175"/>
      <c r="D140" s="175"/>
      <c r="E140" s="175"/>
      <c r="F140" s="122"/>
      <c r="G140" s="122"/>
      <c r="H140" s="122"/>
      <c r="I140" s="122"/>
      <c r="J140" s="173"/>
      <c r="K140" s="181"/>
      <c r="L140" s="122"/>
      <c r="M140" s="122"/>
      <c r="N140" s="122"/>
      <c r="O140" s="122"/>
      <c r="P140" s="122"/>
      <c r="Q140" s="122"/>
      <c r="R140" s="122"/>
      <c r="S140" s="122"/>
      <c r="T140" s="122"/>
      <c r="U140" s="122"/>
      <c r="V140" s="122"/>
      <c r="W140" s="122"/>
      <c r="X140" s="122"/>
      <c r="Y140" s="122"/>
    </row>
    <row r="141" spans="1:25" ht="15.75" customHeight="1" x14ac:dyDescent="0.2">
      <c r="A141" s="181"/>
      <c r="B141" s="174"/>
      <c r="C141" s="175"/>
      <c r="D141" s="175"/>
      <c r="E141" s="175"/>
      <c r="F141" s="122"/>
      <c r="G141" s="122"/>
      <c r="H141" s="122"/>
      <c r="I141" s="122"/>
      <c r="J141" s="173"/>
      <c r="K141" s="181"/>
      <c r="L141" s="122"/>
      <c r="M141" s="122"/>
      <c r="N141" s="122"/>
      <c r="O141" s="122"/>
      <c r="P141" s="122"/>
      <c r="Q141" s="122"/>
      <c r="R141" s="122"/>
      <c r="S141" s="122"/>
      <c r="T141" s="122"/>
      <c r="U141" s="122"/>
      <c r="V141" s="122"/>
      <c r="W141" s="122"/>
      <c r="X141" s="122"/>
      <c r="Y141" s="122"/>
    </row>
    <row r="142" spans="1:25" ht="15.75" customHeight="1" x14ac:dyDescent="0.2">
      <c r="A142" s="181"/>
      <c r="B142" s="174"/>
      <c r="C142" s="175"/>
      <c r="D142" s="175"/>
      <c r="E142" s="175"/>
      <c r="F142" s="122"/>
      <c r="G142" s="122"/>
      <c r="H142" s="122"/>
      <c r="I142" s="122"/>
      <c r="J142" s="173"/>
      <c r="K142" s="181"/>
      <c r="L142" s="122"/>
      <c r="M142" s="122"/>
      <c r="N142" s="122"/>
      <c r="O142" s="122"/>
      <c r="P142" s="122"/>
      <c r="Q142" s="122"/>
      <c r="R142" s="122"/>
      <c r="S142" s="122"/>
      <c r="T142" s="122"/>
      <c r="U142" s="122"/>
      <c r="V142" s="122"/>
      <c r="W142" s="122"/>
      <c r="X142" s="122"/>
      <c r="Y142" s="122"/>
    </row>
    <row r="143" spans="1:25" ht="15.75" customHeight="1" x14ac:dyDescent="0.2">
      <c r="A143" s="181"/>
      <c r="B143" s="174"/>
      <c r="C143" s="175"/>
      <c r="D143" s="175"/>
      <c r="E143" s="175"/>
      <c r="F143" s="122"/>
      <c r="G143" s="122"/>
      <c r="H143" s="122"/>
      <c r="I143" s="122"/>
      <c r="J143" s="173"/>
      <c r="K143" s="181"/>
      <c r="L143" s="122"/>
      <c r="M143" s="122"/>
      <c r="N143" s="122"/>
      <c r="O143" s="122"/>
      <c r="P143" s="122"/>
      <c r="Q143" s="122"/>
      <c r="R143" s="122"/>
      <c r="S143" s="122"/>
      <c r="T143" s="122"/>
      <c r="U143" s="122"/>
      <c r="V143" s="122"/>
      <c r="W143" s="122"/>
      <c r="X143" s="122"/>
      <c r="Y143" s="122"/>
    </row>
    <row r="144" spans="1:25" ht="15.75" customHeight="1" x14ac:dyDescent="0.2">
      <c r="A144" s="181"/>
      <c r="B144" s="174"/>
      <c r="C144" s="175"/>
      <c r="D144" s="175"/>
      <c r="E144" s="175"/>
      <c r="F144" s="122"/>
      <c r="G144" s="122"/>
      <c r="H144" s="122"/>
      <c r="I144" s="122"/>
      <c r="J144" s="173"/>
      <c r="K144" s="181"/>
      <c r="L144" s="122"/>
      <c r="M144" s="122"/>
      <c r="N144" s="122"/>
      <c r="O144" s="122"/>
      <c r="P144" s="122"/>
      <c r="Q144" s="122"/>
      <c r="R144" s="122"/>
      <c r="S144" s="122"/>
      <c r="T144" s="122"/>
      <c r="U144" s="122"/>
      <c r="V144" s="122"/>
      <c r="W144" s="122"/>
      <c r="X144" s="122"/>
      <c r="Y144" s="122"/>
    </row>
    <row r="145" spans="1:25" ht="15.75" customHeight="1" x14ac:dyDescent="0.2">
      <c r="A145" s="181"/>
      <c r="B145" s="174"/>
      <c r="C145" s="175"/>
      <c r="D145" s="175"/>
      <c r="E145" s="175"/>
      <c r="F145" s="122"/>
      <c r="G145" s="122"/>
      <c r="H145" s="122"/>
      <c r="I145" s="122"/>
      <c r="J145" s="173"/>
      <c r="K145" s="181"/>
      <c r="L145" s="122"/>
      <c r="M145" s="122"/>
      <c r="N145" s="122"/>
      <c r="O145" s="122"/>
      <c r="P145" s="122"/>
      <c r="Q145" s="122"/>
      <c r="R145" s="122"/>
      <c r="S145" s="122"/>
      <c r="T145" s="122"/>
      <c r="U145" s="122"/>
      <c r="V145" s="122"/>
      <c r="W145" s="122"/>
      <c r="X145" s="122"/>
      <c r="Y145" s="122"/>
    </row>
    <row r="146" spans="1:25" ht="15.75" customHeight="1" x14ac:dyDescent="0.2">
      <c r="A146" s="181"/>
      <c r="B146" s="174"/>
      <c r="C146" s="175"/>
      <c r="D146" s="175"/>
      <c r="E146" s="175"/>
      <c r="F146" s="122"/>
      <c r="G146" s="122"/>
      <c r="H146" s="122"/>
      <c r="I146" s="122"/>
      <c r="J146" s="173"/>
      <c r="K146" s="181"/>
      <c r="L146" s="122"/>
      <c r="M146" s="122"/>
      <c r="N146" s="122"/>
      <c r="O146" s="122"/>
      <c r="P146" s="122"/>
      <c r="Q146" s="122"/>
      <c r="R146" s="122"/>
      <c r="S146" s="122"/>
      <c r="T146" s="122"/>
      <c r="U146" s="122"/>
      <c r="V146" s="122"/>
      <c r="W146" s="122"/>
      <c r="X146" s="122"/>
      <c r="Y146" s="122"/>
    </row>
    <row r="147" spans="1:25" ht="15.75" customHeight="1" x14ac:dyDescent="0.2">
      <c r="A147" s="181"/>
      <c r="B147" s="174"/>
      <c r="C147" s="175"/>
      <c r="D147" s="175"/>
      <c r="E147" s="175"/>
      <c r="F147" s="122"/>
      <c r="G147" s="122"/>
      <c r="H147" s="122"/>
      <c r="I147" s="122"/>
      <c r="J147" s="173"/>
      <c r="K147" s="181"/>
      <c r="L147" s="122"/>
      <c r="M147" s="122"/>
      <c r="N147" s="122"/>
      <c r="O147" s="122"/>
      <c r="P147" s="122"/>
      <c r="Q147" s="122"/>
      <c r="R147" s="122"/>
      <c r="S147" s="122"/>
      <c r="T147" s="122"/>
      <c r="U147" s="122"/>
      <c r="V147" s="122"/>
      <c r="W147" s="122"/>
      <c r="X147" s="122"/>
      <c r="Y147" s="122"/>
    </row>
    <row r="148" spans="1:25" ht="15.75" customHeight="1" x14ac:dyDescent="0.2">
      <c r="A148" s="181"/>
      <c r="B148" s="174"/>
      <c r="C148" s="175"/>
      <c r="D148" s="175"/>
      <c r="E148" s="175"/>
      <c r="F148" s="122"/>
      <c r="G148" s="122"/>
      <c r="H148" s="122"/>
      <c r="I148" s="122"/>
      <c r="J148" s="173"/>
      <c r="K148" s="181"/>
      <c r="L148" s="122"/>
      <c r="M148" s="122"/>
      <c r="N148" s="122"/>
      <c r="O148" s="122"/>
      <c r="P148" s="122"/>
      <c r="Q148" s="122"/>
      <c r="R148" s="122"/>
      <c r="S148" s="122"/>
      <c r="T148" s="122"/>
      <c r="U148" s="122"/>
      <c r="V148" s="122"/>
      <c r="W148" s="122"/>
      <c r="X148" s="122"/>
      <c r="Y148" s="122"/>
    </row>
    <row r="149" spans="1:25" ht="15.75" customHeight="1" x14ac:dyDescent="0.2">
      <c r="A149" s="181"/>
      <c r="B149" s="174"/>
      <c r="C149" s="175"/>
      <c r="D149" s="175"/>
      <c r="E149" s="175"/>
      <c r="F149" s="122"/>
      <c r="G149" s="122"/>
      <c r="H149" s="122"/>
      <c r="I149" s="122"/>
      <c r="J149" s="173"/>
      <c r="K149" s="181"/>
      <c r="L149" s="122"/>
      <c r="M149" s="122"/>
      <c r="N149" s="122"/>
      <c r="O149" s="122"/>
      <c r="P149" s="122"/>
      <c r="Q149" s="122"/>
      <c r="R149" s="122"/>
      <c r="S149" s="122"/>
      <c r="T149" s="122"/>
      <c r="U149" s="122"/>
      <c r="V149" s="122"/>
      <c r="W149" s="122"/>
      <c r="X149" s="122"/>
      <c r="Y149" s="122"/>
    </row>
    <row r="150" spans="1:25" ht="15.75" customHeight="1" x14ac:dyDescent="0.2">
      <c r="A150" s="181"/>
      <c r="B150" s="174"/>
      <c r="C150" s="175"/>
      <c r="D150" s="175"/>
      <c r="E150" s="175"/>
      <c r="F150" s="122"/>
      <c r="G150" s="122"/>
      <c r="H150" s="122"/>
      <c r="I150" s="122"/>
      <c r="J150" s="173"/>
      <c r="K150" s="181"/>
      <c r="L150" s="122"/>
      <c r="M150" s="122"/>
      <c r="N150" s="122"/>
      <c r="O150" s="122"/>
      <c r="P150" s="122"/>
      <c r="Q150" s="122"/>
      <c r="R150" s="122"/>
      <c r="S150" s="122"/>
      <c r="T150" s="122"/>
      <c r="U150" s="122"/>
      <c r="V150" s="122"/>
      <c r="W150" s="122"/>
      <c r="X150" s="122"/>
      <c r="Y150" s="122"/>
    </row>
    <row r="151" spans="1:25" ht="15.75" customHeight="1" x14ac:dyDescent="0.2">
      <c r="A151" s="181"/>
      <c r="B151" s="174"/>
      <c r="C151" s="175"/>
      <c r="D151" s="175"/>
      <c r="E151" s="175"/>
      <c r="F151" s="122"/>
      <c r="G151" s="122"/>
      <c r="H151" s="122"/>
      <c r="I151" s="122"/>
      <c r="J151" s="173"/>
      <c r="K151" s="181"/>
      <c r="L151" s="122"/>
      <c r="M151" s="122"/>
      <c r="N151" s="122"/>
      <c r="O151" s="122"/>
      <c r="P151" s="122"/>
      <c r="Q151" s="122"/>
      <c r="R151" s="122"/>
      <c r="S151" s="122"/>
      <c r="T151" s="122"/>
      <c r="U151" s="122"/>
      <c r="V151" s="122"/>
      <c r="W151" s="122"/>
      <c r="X151" s="122"/>
      <c r="Y151" s="122"/>
    </row>
    <row r="152" spans="1:25" ht="15.75" customHeight="1" x14ac:dyDescent="0.2">
      <c r="A152" s="181"/>
      <c r="B152" s="174"/>
      <c r="C152" s="175"/>
      <c r="D152" s="175"/>
      <c r="E152" s="175"/>
      <c r="F152" s="122"/>
      <c r="G152" s="122"/>
      <c r="H152" s="122"/>
      <c r="I152" s="122"/>
      <c r="J152" s="173"/>
      <c r="K152" s="181"/>
      <c r="L152" s="122"/>
      <c r="M152" s="122"/>
      <c r="N152" s="122"/>
      <c r="O152" s="122"/>
      <c r="P152" s="122"/>
      <c r="Q152" s="122"/>
      <c r="R152" s="122"/>
      <c r="S152" s="122"/>
      <c r="T152" s="122"/>
      <c r="U152" s="122"/>
      <c r="V152" s="122"/>
      <c r="W152" s="122"/>
      <c r="X152" s="122"/>
      <c r="Y152" s="122"/>
    </row>
    <row r="153" spans="1:25" ht="15.75" customHeight="1" x14ac:dyDescent="0.2">
      <c r="A153" s="181"/>
      <c r="B153" s="174"/>
      <c r="C153" s="175"/>
      <c r="D153" s="175"/>
      <c r="E153" s="175"/>
      <c r="F153" s="122"/>
      <c r="G153" s="122"/>
      <c r="H153" s="122"/>
      <c r="I153" s="122"/>
      <c r="J153" s="173"/>
      <c r="K153" s="181"/>
      <c r="L153" s="122"/>
      <c r="M153" s="122"/>
      <c r="N153" s="122"/>
      <c r="O153" s="122"/>
      <c r="P153" s="122"/>
      <c r="Q153" s="122"/>
      <c r="R153" s="122"/>
      <c r="S153" s="122"/>
      <c r="T153" s="122"/>
      <c r="U153" s="122"/>
      <c r="V153" s="122"/>
      <c r="W153" s="122"/>
      <c r="X153" s="122"/>
      <c r="Y153" s="122"/>
    </row>
    <row r="154" spans="1:25" ht="15.75" customHeight="1" x14ac:dyDescent="0.2">
      <c r="A154" s="181"/>
      <c r="B154" s="174"/>
      <c r="C154" s="175"/>
      <c r="D154" s="175"/>
      <c r="E154" s="175"/>
      <c r="F154" s="122"/>
      <c r="G154" s="122"/>
      <c r="H154" s="122"/>
      <c r="I154" s="122"/>
      <c r="J154" s="173"/>
      <c r="K154" s="181"/>
      <c r="L154" s="122"/>
      <c r="M154" s="122"/>
      <c r="N154" s="122"/>
      <c r="O154" s="122"/>
      <c r="P154" s="122"/>
      <c r="Q154" s="122"/>
      <c r="R154" s="122"/>
      <c r="S154" s="122"/>
      <c r="T154" s="122"/>
      <c r="U154" s="122"/>
      <c r="V154" s="122"/>
      <c r="W154" s="122"/>
      <c r="X154" s="122"/>
      <c r="Y154" s="122"/>
    </row>
    <row r="155" spans="1:25" ht="15.75" customHeight="1" x14ac:dyDescent="0.2">
      <c r="A155" s="181"/>
      <c r="B155" s="174"/>
      <c r="C155" s="175"/>
      <c r="D155" s="175"/>
      <c r="E155" s="175"/>
      <c r="F155" s="122"/>
      <c r="G155" s="122"/>
      <c r="H155" s="122"/>
      <c r="I155" s="122"/>
      <c r="J155" s="173"/>
      <c r="K155" s="181"/>
      <c r="L155" s="122"/>
      <c r="M155" s="122"/>
      <c r="N155" s="122"/>
      <c r="O155" s="122"/>
      <c r="P155" s="122"/>
      <c r="Q155" s="122"/>
      <c r="R155" s="122"/>
      <c r="S155" s="122"/>
      <c r="T155" s="122"/>
      <c r="U155" s="122"/>
      <c r="V155" s="122"/>
      <c r="W155" s="122"/>
      <c r="X155" s="122"/>
      <c r="Y155" s="122"/>
    </row>
    <row r="156" spans="1:25" ht="15.75" customHeight="1" x14ac:dyDescent="0.2">
      <c r="A156" s="181"/>
      <c r="B156" s="174"/>
      <c r="C156" s="175"/>
      <c r="D156" s="175"/>
      <c r="E156" s="175"/>
      <c r="F156" s="122"/>
      <c r="G156" s="122"/>
      <c r="H156" s="122"/>
      <c r="I156" s="122"/>
      <c r="J156" s="173"/>
      <c r="K156" s="181"/>
      <c r="L156" s="122"/>
      <c r="M156" s="122"/>
      <c r="N156" s="122"/>
      <c r="O156" s="122"/>
      <c r="P156" s="122"/>
      <c r="Q156" s="122"/>
      <c r="R156" s="122"/>
      <c r="S156" s="122"/>
      <c r="T156" s="122"/>
      <c r="U156" s="122"/>
      <c r="V156" s="122"/>
      <c r="W156" s="122"/>
      <c r="X156" s="122"/>
      <c r="Y156" s="122"/>
    </row>
    <row r="157" spans="1:25" ht="15.75" customHeight="1" x14ac:dyDescent="0.2">
      <c r="A157" s="181"/>
      <c r="B157" s="174"/>
      <c r="C157" s="175"/>
      <c r="D157" s="175"/>
      <c r="E157" s="175"/>
      <c r="F157" s="122"/>
      <c r="G157" s="122"/>
      <c r="H157" s="122"/>
      <c r="I157" s="122"/>
      <c r="J157" s="173"/>
      <c r="K157" s="181"/>
      <c r="L157" s="122"/>
      <c r="M157" s="122"/>
      <c r="N157" s="122"/>
      <c r="O157" s="122"/>
      <c r="P157" s="122"/>
      <c r="Q157" s="122"/>
      <c r="R157" s="122"/>
      <c r="S157" s="122"/>
      <c r="T157" s="122"/>
      <c r="U157" s="122"/>
      <c r="V157" s="122"/>
      <c r="W157" s="122"/>
      <c r="X157" s="122"/>
      <c r="Y157" s="122"/>
    </row>
    <row r="158" spans="1:25" ht="15.75" customHeight="1" x14ac:dyDescent="0.2">
      <c r="A158" s="181"/>
      <c r="B158" s="174"/>
      <c r="C158" s="175"/>
      <c r="D158" s="175"/>
      <c r="E158" s="175"/>
      <c r="F158" s="122"/>
      <c r="G158" s="122"/>
      <c r="H158" s="122"/>
      <c r="I158" s="122"/>
      <c r="J158" s="173"/>
      <c r="K158" s="181"/>
      <c r="L158" s="122"/>
      <c r="M158" s="122"/>
      <c r="N158" s="122"/>
      <c r="O158" s="122"/>
      <c r="P158" s="122"/>
      <c r="Q158" s="122"/>
      <c r="R158" s="122"/>
      <c r="S158" s="122"/>
      <c r="T158" s="122"/>
      <c r="U158" s="122"/>
      <c r="V158" s="122"/>
      <c r="W158" s="122"/>
      <c r="X158" s="122"/>
      <c r="Y158" s="122"/>
    </row>
    <row r="159" spans="1:25" ht="15.75" customHeight="1" x14ac:dyDescent="0.2">
      <c r="A159" s="181"/>
      <c r="B159" s="174"/>
      <c r="C159" s="175"/>
      <c r="D159" s="175"/>
      <c r="E159" s="175"/>
      <c r="F159" s="122"/>
      <c r="G159" s="122"/>
      <c r="H159" s="122"/>
      <c r="I159" s="122"/>
      <c r="J159" s="173"/>
      <c r="K159" s="181"/>
      <c r="L159" s="122"/>
      <c r="M159" s="122"/>
      <c r="N159" s="122"/>
      <c r="O159" s="122"/>
      <c r="P159" s="122"/>
      <c r="Q159" s="122"/>
      <c r="R159" s="122"/>
      <c r="S159" s="122"/>
      <c r="T159" s="122"/>
      <c r="U159" s="122"/>
      <c r="V159" s="122"/>
      <c r="W159" s="122"/>
      <c r="X159" s="122"/>
      <c r="Y159" s="122"/>
    </row>
    <row r="160" spans="1:25" ht="15.75" customHeight="1" x14ac:dyDescent="0.2">
      <c r="A160" s="181"/>
      <c r="B160" s="174"/>
      <c r="C160" s="175"/>
      <c r="D160" s="175"/>
      <c r="E160" s="175"/>
      <c r="F160" s="122"/>
      <c r="G160" s="122"/>
      <c r="H160" s="122"/>
      <c r="I160" s="122"/>
      <c r="J160" s="173"/>
      <c r="K160" s="181"/>
      <c r="L160" s="122"/>
      <c r="M160" s="122"/>
      <c r="N160" s="122"/>
      <c r="O160" s="122"/>
      <c r="P160" s="122"/>
      <c r="Q160" s="122"/>
      <c r="R160" s="122"/>
      <c r="S160" s="122"/>
      <c r="T160" s="122"/>
      <c r="U160" s="122"/>
      <c r="V160" s="122"/>
      <c r="W160" s="122"/>
      <c r="X160" s="122"/>
      <c r="Y160" s="122"/>
    </row>
    <row r="161" spans="1:25" ht="15.75" customHeight="1" x14ac:dyDescent="0.2">
      <c r="A161" s="181"/>
      <c r="B161" s="174"/>
      <c r="C161" s="175"/>
      <c r="D161" s="175"/>
      <c r="E161" s="175"/>
      <c r="F161" s="122"/>
      <c r="G161" s="122"/>
      <c r="H161" s="122"/>
      <c r="I161" s="122"/>
      <c r="J161" s="173"/>
      <c r="K161" s="181"/>
      <c r="L161" s="122"/>
      <c r="M161" s="122"/>
      <c r="N161" s="122"/>
      <c r="O161" s="122"/>
      <c r="P161" s="122"/>
      <c r="Q161" s="122"/>
      <c r="R161" s="122"/>
      <c r="S161" s="122"/>
      <c r="T161" s="122"/>
      <c r="U161" s="122"/>
      <c r="V161" s="122"/>
      <c r="W161" s="122"/>
      <c r="X161" s="122"/>
      <c r="Y161" s="122"/>
    </row>
    <row r="162" spans="1:25" ht="15.75" customHeight="1" x14ac:dyDescent="0.2">
      <c r="A162" s="181"/>
      <c r="B162" s="174"/>
      <c r="C162" s="175"/>
      <c r="D162" s="175"/>
      <c r="E162" s="175"/>
      <c r="F162" s="122"/>
      <c r="G162" s="122"/>
      <c r="H162" s="122"/>
      <c r="I162" s="122"/>
      <c r="J162" s="173"/>
      <c r="K162" s="181"/>
      <c r="L162" s="122"/>
      <c r="M162" s="122"/>
      <c r="N162" s="122"/>
      <c r="O162" s="122"/>
      <c r="P162" s="122"/>
      <c r="Q162" s="122"/>
      <c r="R162" s="122"/>
      <c r="S162" s="122"/>
      <c r="T162" s="122"/>
      <c r="U162" s="122"/>
      <c r="V162" s="122"/>
      <c r="W162" s="122"/>
      <c r="X162" s="122"/>
      <c r="Y162" s="122"/>
    </row>
    <row r="163" spans="1:25" ht="15.75" customHeight="1" x14ac:dyDescent="0.2">
      <c r="A163" s="181"/>
      <c r="B163" s="174"/>
      <c r="C163" s="175"/>
      <c r="D163" s="175"/>
      <c r="E163" s="175"/>
      <c r="F163" s="122"/>
      <c r="G163" s="122"/>
      <c r="H163" s="122"/>
      <c r="I163" s="122"/>
      <c r="J163" s="173"/>
      <c r="K163" s="181"/>
      <c r="L163" s="122"/>
      <c r="M163" s="122"/>
      <c r="N163" s="122"/>
      <c r="O163" s="122"/>
      <c r="P163" s="122"/>
      <c r="Q163" s="122"/>
      <c r="R163" s="122"/>
      <c r="S163" s="122"/>
      <c r="T163" s="122"/>
      <c r="U163" s="122"/>
      <c r="V163" s="122"/>
      <c r="W163" s="122"/>
      <c r="X163" s="122"/>
      <c r="Y163" s="122"/>
    </row>
    <row r="164" spans="1:25" ht="15.75" customHeight="1" x14ac:dyDescent="0.2">
      <c r="A164" s="181"/>
      <c r="B164" s="174"/>
      <c r="C164" s="175"/>
      <c r="D164" s="175"/>
      <c r="E164" s="175"/>
      <c r="F164" s="122"/>
      <c r="G164" s="122"/>
      <c r="H164" s="122"/>
      <c r="I164" s="122"/>
      <c r="J164" s="173"/>
      <c r="K164" s="181"/>
      <c r="L164" s="122"/>
      <c r="M164" s="122"/>
      <c r="N164" s="122"/>
      <c r="O164" s="122"/>
      <c r="P164" s="122"/>
      <c r="Q164" s="122"/>
      <c r="R164" s="122"/>
      <c r="S164" s="122"/>
      <c r="T164" s="122"/>
      <c r="U164" s="122"/>
      <c r="V164" s="122"/>
      <c r="W164" s="122"/>
      <c r="X164" s="122"/>
      <c r="Y164" s="122"/>
    </row>
    <row r="165" spans="1:25" ht="15.75" customHeight="1" x14ac:dyDescent="0.2">
      <c r="A165" s="181"/>
      <c r="B165" s="174"/>
      <c r="C165" s="175"/>
      <c r="D165" s="175"/>
      <c r="E165" s="175"/>
      <c r="F165" s="122"/>
      <c r="G165" s="122"/>
      <c r="H165" s="122"/>
      <c r="I165" s="122"/>
      <c r="J165" s="173"/>
      <c r="K165" s="181"/>
      <c r="L165" s="122"/>
      <c r="M165" s="122"/>
      <c r="N165" s="122"/>
      <c r="O165" s="122"/>
      <c r="P165" s="122"/>
      <c r="Q165" s="122"/>
      <c r="R165" s="122"/>
      <c r="S165" s="122"/>
      <c r="T165" s="122"/>
      <c r="U165" s="122"/>
      <c r="V165" s="122"/>
      <c r="W165" s="122"/>
      <c r="X165" s="122"/>
      <c r="Y165" s="122"/>
    </row>
    <row r="166" spans="1:25" ht="15.75" customHeight="1" x14ac:dyDescent="0.2">
      <c r="A166" s="181"/>
      <c r="B166" s="174"/>
      <c r="C166" s="175"/>
      <c r="D166" s="175"/>
      <c r="E166" s="175"/>
      <c r="F166" s="122"/>
      <c r="G166" s="122"/>
      <c r="H166" s="122"/>
      <c r="I166" s="122"/>
      <c r="J166" s="173"/>
      <c r="K166" s="181"/>
      <c r="L166" s="122"/>
      <c r="M166" s="122"/>
      <c r="N166" s="122"/>
      <c r="O166" s="122"/>
      <c r="P166" s="122"/>
      <c r="Q166" s="122"/>
      <c r="R166" s="122"/>
      <c r="S166" s="122"/>
      <c r="T166" s="122"/>
      <c r="U166" s="122"/>
      <c r="V166" s="122"/>
      <c r="W166" s="122"/>
      <c r="X166" s="122"/>
      <c r="Y166" s="122"/>
    </row>
    <row r="167" spans="1:25" ht="15.75" customHeight="1" x14ac:dyDescent="0.2">
      <c r="A167" s="181"/>
      <c r="B167" s="174"/>
      <c r="C167" s="175"/>
      <c r="D167" s="175"/>
      <c r="E167" s="175"/>
      <c r="F167" s="122"/>
      <c r="G167" s="122"/>
      <c r="H167" s="122"/>
      <c r="I167" s="122"/>
      <c r="J167" s="173"/>
      <c r="K167" s="181"/>
      <c r="L167" s="122"/>
      <c r="M167" s="122"/>
      <c r="N167" s="122"/>
      <c r="O167" s="122"/>
      <c r="P167" s="122"/>
      <c r="Q167" s="122"/>
      <c r="R167" s="122"/>
      <c r="S167" s="122"/>
      <c r="T167" s="122"/>
      <c r="U167" s="122"/>
      <c r="V167" s="122"/>
      <c r="W167" s="122"/>
      <c r="X167" s="122"/>
      <c r="Y167" s="122"/>
    </row>
    <row r="168" spans="1:25" ht="15.75" customHeight="1" x14ac:dyDescent="0.2">
      <c r="A168" s="181"/>
      <c r="B168" s="174"/>
      <c r="C168" s="175"/>
      <c r="D168" s="175"/>
      <c r="E168" s="175"/>
      <c r="F168" s="122"/>
      <c r="G168" s="122"/>
      <c r="H168" s="122"/>
      <c r="I168" s="122"/>
      <c r="J168" s="173"/>
      <c r="K168" s="181"/>
      <c r="L168" s="122"/>
      <c r="M168" s="122"/>
      <c r="N168" s="122"/>
      <c r="O168" s="122"/>
      <c r="P168" s="122"/>
      <c r="Q168" s="122"/>
      <c r="R168" s="122"/>
      <c r="S168" s="122"/>
      <c r="T168" s="122"/>
      <c r="U168" s="122"/>
      <c r="V168" s="122"/>
      <c r="W168" s="122"/>
      <c r="X168" s="122"/>
      <c r="Y168" s="122"/>
    </row>
    <row r="169" spans="1:25" ht="15.75" customHeight="1" x14ac:dyDescent="0.2">
      <c r="A169" s="181"/>
      <c r="B169" s="174"/>
      <c r="C169" s="175"/>
      <c r="D169" s="175"/>
      <c r="E169" s="175"/>
      <c r="F169" s="122"/>
      <c r="G169" s="122"/>
      <c r="H169" s="122"/>
      <c r="I169" s="122"/>
      <c r="J169" s="173"/>
      <c r="K169" s="181"/>
      <c r="L169" s="122"/>
      <c r="M169" s="122"/>
      <c r="N169" s="122"/>
      <c r="O169" s="122"/>
      <c r="P169" s="122"/>
      <c r="Q169" s="122"/>
      <c r="R169" s="122"/>
      <c r="S169" s="122"/>
      <c r="T169" s="122"/>
      <c r="U169" s="122"/>
      <c r="V169" s="122"/>
      <c r="W169" s="122"/>
      <c r="X169" s="122"/>
      <c r="Y169" s="122"/>
    </row>
    <row r="170" spans="1:25" ht="15.75" customHeight="1" x14ac:dyDescent="0.2">
      <c r="A170" s="181"/>
      <c r="B170" s="174"/>
      <c r="C170" s="175"/>
      <c r="D170" s="175"/>
      <c r="E170" s="175"/>
      <c r="F170" s="122"/>
      <c r="G170" s="122"/>
      <c r="H170" s="122"/>
      <c r="I170" s="122"/>
      <c r="J170" s="173"/>
      <c r="K170" s="181"/>
      <c r="L170" s="122"/>
      <c r="M170" s="122"/>
      <c r="N170" s="122"/>
      <c r="O170" s="122"/>
      <c r="P170" s="122"/>
      <c r="Q170" s="122"/>
      <c r="R170" s="122"/>
      <c r="S170" s="122"/>
      <c r="T170" s="122"/>
      <c r="U170" s="122"/>
      <c r="V170" s="122"/>
      <c r="W170" s="122"/>
      <c r="X170" s="122"/>
      <c r="Y170" s="122"/>
    </row>
    <row r="171" spans="1:25" ht="15.75" customHeight="1" x14ac:dyDescent="0.2">
      <c r="A171" s="181"/>
      <c r="B171" s="174"/>
      <c r="C171" s="175"/>
      <c r="D171" s="175"/>
      <c r="E171" s="175"/>
      <c r="F171" s="122"/>
      <c r="G171" s="122"/>
      <c r="H171" s="122"/>
      <c r="I171" s="122"/>
      <c r="J171" s="173"/>
      <c r="K171" s="181"/>
      <c r="L171" s="122"/>
      <c r="M171" s="122"/>
      <c r="N171" s="122"/>
      <c r="O171" s="122"/>
      <c r="P171" s="122"/>
      <c r="Q171" s="122"/>
      <c r="R171" s="122"/>
      <c r="S171" s="122"/>
      <c r="T171" s="122"/>
      <c r="U171" s="122"/>
      <c r="V171" s="122"/>
      <c r="W171" s="122"/>
      <c r="X171" s="122"/>
      <c r="Y171" s="122"/>
    </row>
    <row r="172" spans="1:25" ht="15.75" customHeight="1" x14ac:dyDescent="0.2">
      <c r="A172" s="181"/>
      <c r="B172" s="174"/>
      <c r="C172" s="175"/>
      <c r="D172" s="175"/>
      <c r="E172" s="175"/>
      <c r="F172" s="122"/>
      <c r="G172" s="122"/>
      <c r="H172" s="122"/>
      <c r="I172" s="122"/>
      <c r="J172" s="173"/>
      <c r="K172" s="181"/>
      <c r="L172" s="122"/>
      <c r="M172" s="122"/>
      <c r="N172" s="122"/>
      <c r="O172" s="122"/>
      <c r="P172" s="122"/>
      <c r="Q172" s="122"/>
      <c r="R172" s="122"/>
      <c r="S172" s="122"/>
      <c r="T172" s="122"/>
      <c r="U172" s="122"/>
      <c r="V172" s="122"/>
      <c r="W172" s="122"/>
      <c r="X172" s="122"/>
      <c r="Y172" s="122"/>
    </row>
    <row r="173" spans="1:25" ht="15.75" customHeight="1" x14ac:dyDescent="0.2">
      <c r="A173" s="181"/>
      <c r="B173" s="174"/>
      <c r="C173" s="175"/>
      <c r="D173" s="175"/>
      <c r="E173" s="175"/>
      <c r="F173" s="122"/>
      <c r="G173" s="122"/>
      <c r="H173" s="122"/>
      <c r="I173" s="122"/>
      <c r="J173" s="173"/>
      <c r="K173" s="181"/>
      <c r="L173" s="122"/>
      <c r="M173" s="122"/>
      <c r="N173" s="122"/>
      <c r="O173" s="122"/>
      <c r="P173" s="122"/>
      <c r="Q173" s="122"/>
      <c r="R173" s="122"/>
      <c r="S173" s="122"/>
      <c r="T173" s="122"/>
      <c r="U173" s="122"/>
      <c r="V173" s="122"/>
      <c r="W173" s="122"/>
      <c r="X173" s="122"/>
      <c r="Y173" s="122"/>
    </row>
    <row r="174" spans="1:25" ht="15.75" customHeight="1" x14ac:dyDescent="0.2">
      <c r="A174" s="181"/>
      <c r="B174" s="174"/>
      <c r="C174" s="175"/>
      <c r="D174" s="175"/>
      <c r="E174" s="175"/>
      <c r="F174" s="122"/>
      <c r="G174" s="122"/>
      <c r="H174" s="122"/>
      <c r="I174" s="122"/>
      <c r="J174" s="173"/>
      <c r="K174" s="181"/>
      <c r="L174" s="122"/>
      <c r="M174" s="122"/>
      <c r="N174" s="122"/>
      <c r="O174" s="122"/>
      <c r="P174" s="122"/>
      <c r="Q174" s="122"/>
      <c r="R174" s="122"/>
      <c r="S174" s="122"/>
      <c r="T174" s="122"/>
      <c r="U174" s="122"/>
      <c r="V174" s="122"/>
      <c r="W174" s="122"/>
      <c r="X174" s="122"/>
      <c r="Y174" s="122"/>
    </row>
    <row r="175" spans="1:25" ht="15.75" customHeight="1" x14ac:dyDescent="0.2">
      <c r="A175" s="181"/>
      <c r="B175" s="174"/>
      <c r="C175" s="175"/>
      <c r="D175" s="175"/>
      <c r="E175" s="175"/>
      <c r="F175" s="122"/>
      <c r="G175" s="122"/>
      <c r="H175" s="122"/>
      <c r="I175" s="122"/>
      <c r="J175" s="173"/>
      <c r="K175" s="181"/>
      <c r="L175" s="122"/>
      <c r="M175" s="122"/>
      <c r="N175" s="122"/>
      <c r="O175" s="122"/>
      <c r="P175" s="122"/>
      <c r="Q175" s="122"/>
      <c r="R175" s="122"/>
      <c r="S175" s="122"/>
      <c r="T175" s="122"/>
      <c r="U175" s="122"/>
      <c r="V175" s="122"/>
      <c r="W175" s="122"/>
      <c r="X175" s="122"/>
      <c r="Y175" s="122"/>
    </row>
    <row r="176" spans="1:25" ht="15.75" customHeight="1" x14ac:dyDescent="0.2">
      <c r="A176" s="181"/>
      <c r="B176" s="174"/>
      <c r="C176" s="175"/>
      <c r="D176" s="175"/>
      <c r="E176" s="175"/>
      <c r="F176" s="122"/>
      <c r="G176" s="122"/>
      <c r="H176" s="122"/>
      <c r="I176" s="122"/>
      <c r="J176" s="173"/>
      <c r="K176" s="181"/>
      <c r="L176" s="122"/>
      <c r="M176" s="122"/>
      <c r="N176" s="122"/>
      <c r="O176" s="122"/>
      <c r="P176" s="122"/>
      <c r="Q176" s="122"/>
      <c r="R176" s="122"/>
      <c r="S176" s="122"/>
      <c r="T176" s="122"/>
      <c r="U176" s="122"/>
      <c r="V176" s="122"/>
      <c r="W176" s="122"/>
      <c r="X176" s="122"/>
      <c r="Y176" s="122"/>
    </row>
    <row r="177" spans="1:25" ht="15.75" customHeight="1" x14ac:dyDescent="0.2">
      <c r="A177" s="181"/>
      <c r="B177" s="174"/>
      <c r="C177" s="175"/>
      <c r="D177" s="175"/>
      <c r="E177" s="175"/>
      <c r="F177" s="122"/>
      <c r="G177" s="122"/>
      <c r="H177" s="122"/>
      <c r="I177" s="122"/>
      <c r="J177" s="173"/>
      <c r="K177" s="181"/>
      <c r="L177" s="122"/>
      <c r="M177" s="122"/>
      <c r="N177" s="122"/>
      <c r="O177" s="122"/>
      <c r="P177" s="122"/>
      <c r="Q177" s="122"/>
      <c r="R177" s="122"/>
      <c r="S177" s="122"/>
      <c r="T177" s="122"/>
      <c r="U177" s="122"/>
      <c r="V177" s="122"/>
      <c r="W177" s="122"/>
      <c r="X177" s="122"/>
      <c r="Y177" s="122"/>
    </row>
    <row r="178" spans="1:25" ht="15.75" customHeight="1" x14ac:dyDescent="0.2">
      <c r="A178" s="181"/>
      <c r="B178" s="174"/>
      <c r="C178" s="175"/>
      <c r="D178" s="175"/>
      <c r="E178" s="175"/>
      <c r="F178" s="122"/>
      <c r="G178" s="122"/>
      <c r="H178" s="122"/>
      <c r="I178" s="122"/>
      <c r="J178" s="173"/>
      <c r="K178" s="181"/>
      <c r="L178" s="122"/>
      <c r="M178" s="122"/>
      <c r="N178" s="122"/>
      <c r="O178" s="122"/>
      <c r="P178" s="122"/>
      <c r="Q178" s="122"/>
      <c r="R178" s="122"/>
      <c r="S178" s="122"/>
      <c r="T178" s="122"/>
      <c r="U178" s="122"/>
      <c r="V178" s="122"/>
      <c r="W178" s="122"/>
      <c r="X178" s="122"/>
      <c r="Y178" s="122"/>
    </row>
    <row r="179" spans="1:25" ht="15.75" customHeight="1" x14ac:dyDescent="0.2">
      <c r="A179" s="181"/>
      <c r="B179" s="174"/>
      <c r="C179" s="175"/>
      <c r="D179" s="175"/>
      <c r="E179" s="175"/>
      <c r="F179" s="122"/>
      <c r="G179" s="122"/>
      <c r="H179" s="122"/>
      <c r="I179" s="122"/>
      <c r="J179" s="173"/>
      <c r="K179" s="181"/>
      <c r="L179" s="122"/>
      <c r="M179" s="122"/>
      <c r="N179" s="122"/>
      <c r="O179" s="122"/>
      <c r="P179" s="122"/>
      <c r="Q179" s="122"/>
      <c r="R179" s="122"/>
      <c r="S179" s="122"/>
      <c r="T179" s="122"/>
      <c r="U179" s="122"/>
      <c r="V179" s="122"/>
      <c r="W179" s="122"/>
      <c r="X179" s="122"/>
      <c r="Y179" s="122"/>
    </row>
    <row r="180" spans="1:25" ht="15.75" customHeight="1" x14ac:dyDescent="0.2">
      <c r="A180" s="181"/>
      <c r="B180" s="174"/>
      <c r="C180" s="175"/>
      <c r="D180" s="175"/>
      <c r="E180" s="175"/>
      <c r="F180" s="122"/>
      <c r="G180" s="122"/>
      <c r="H180" s="122"/>
      <c r="I180" s="122"/>
      <c r="J180" s="173"/>
      <c r="K180" s="181"/>
      <c r="L180" s="122"/>
      <c r="M180" s="122"/>
      <c r="N180" s="122"/>
      <c r="O180" s="122"/>
      <c r="P180" s="122"/>
      <c r="Q180" s="122"/>
      <c r="R180" s="122"/>
      <c r="S180" s="122"/>
      <c r="T180" s="122"/>
      <c r="U180" s="122"/>
      <c r="V180" s="122"/>
      <c r="W180" s="122"/>
      <c r="X180" s="122"/>
      <c r="Y180" s="122"/>
    </row>
    <row r="181" spans="1:25" ht="15.75" customHeight="1" x14ac:dyDescent="0.2">
      <c r="A181" s="181"/>
      <c r="B181" s="174"/>
      <c r="C181" s="175"/>
      <c r="D181" s="175"/>
      <c r="E181" s="175"/>
      <c r="F181" s="122"/>
      <c r="G181" s="122"/>
      <c r="H181" s="122"/>
      <c r="I181" s="122"/>
      <c r="J181" s="173"/>
      <c r="K181" s="181"/>
      <c r="L181" s="122"/>
      <c r="M181" s="122"/>
      <c r="N181" s="122"/>
      <c r="O181" s="122"/>
      <c r="P181" s="122"/>
      <c r="Q181" s="122"/>
      <c r="R181" s="122"/>
      <c r="S181" s="122"/>
      <c r="T181" s="122"/>
      <c r="U181" s="122"/>
      <c r="V181" s="122"/>
      <c r="W181" s="122"/>
      <c r="X181" s="122"/>
      <c r="Y181" s="122"/>
    </row>
    <row r="182" spans="1:25" ht="15.75" customHeight="1" x14ac:dyDescent="0.2">
      <c r="A182" s="181"/>
      <c r="B182" s="174"/>
      <c r="C182" s="175"/>
      <c r="D182" s="175"/>
      <c r="E182" s="175"/>
      <c r="F182" s="122"/>
      <c r="G182" s="122"/>
      <c r="H182" s="122"/>
      <c r="I182" s="122"/>
      <c r="J182" s="173"/>
      <c r="K182" s="181"/>
      <c r="L182" s="122"/>
      <c r="M182" s="122"/>
      <c r="N182" s="122"/>
      <c r="O182" s="122"/>
      <c r="P182" s="122"/>
      <c r="Q182" s="122"/>
      <c r="R182" s="122"/>
      <c r="S182" s="122"/>
      <c r="T182" s="122"/>
      <c r="U182" s="122"/>
      <c r="V182" s="122"/>
      <c r="W182" s="122"/>
      <c r="X182" s="122"/>
      <c r="Y182" s="122"/>
    </row>
    <row r="183" spans="1:25" ht="15.75" customHeight="1" x14ac:dyDescent="0.2">
      <c r="A183" s="181"/>
      <c r="B183" s="174"/>
      <c r="C183" s="175"/>
      <c r="D183" s="175"/>
      <c r="E183" s="175"/>
      <c r="F183" s="122"/>
      <c r="G183" s="122"/>
      <c r="H183" s="122"/>
      <c r="I183" s="122"/>
      <c r="J183" s="173"/>
      <c r="K183" s="181"/>
      <c r="L183" s="122"/>
      <c r="M183" s="122"/>
      <c r="N183" s="122"/>
      <c r="O183" s="122"/>
      <c r="P183" s="122"/>
      <c r="Q183" s="122"/>
      <c r="R183" s="122"/>
      <c r="S183" s="122"/>
      <c r="T183" s="122"/>
      <c r="U183" s="122"/>
      <c r="V183" s="122"/>
      <c r="W183" s="122"/>
      <c r="X183" s="122"/>
      <c r="Y183" s="122"/>
    </row>
    <row r="184" spans="1:25" ht="15.75" customHeight="1" x14ac:dyDescent="0.2">
      <c r="A184" s="181"/>
      <c r="B184" s="174"/>
      <c r="C184" s="175"/>
      <c r="D184" s="175"/>
      <c r="E184" s="175"/>
      <c r="F184" s="122"/>
      <c r="G184" s="122"/>
      <c r="H184" s="122"/>
      <c r="I184" s="122"/>
      <c r="J184" s="173"/>
      <c r="K184" s="181"/>
      <c r="L184" s="122"/>
      <c r="M184" s="122"/>
      <c r="N184" s="122"/>
      <c r="O184" s="122"/>
      <c r="P184" s="122"/>
      <c r="Q184" s="122"/>
      <c r="R184" s="122"/>
      <c r="S184" s="122"/>
      <c r="T184" s="122"/>
      <c r="U184" s="122"/>
      <c r="V184" s="122"/>
      <c r="W184" s="122"/>
      <c r="X184" s="122"/>
      <c r="Y184" s="122"/>
    </row>
    <row r="185" spans="1:25" ht="15.75" customHeight="1" x14ac:dyDescent="0.2">
      <c r="A185" s="181"/>
      <c r="B185" s="174"/>
      <c r="C185" s="175"/>
      <c r="D185" s="175"/>
      <c r="E185" s="175"/>
      <c r="F185" s="122"/>
      <c r="G185" s="122"/>
      <c r="H185" s="122"/>
      <c r="I185" s="122"/>
      <c r="J185" s="173"/>
      <c r="K185" s="181"/>
      <c r="L185" s="122"/>
      <c r="M185" s="122"/>
      <c r="N185" s="122"/>
      <c r="O185" s="122"/>
      <c r="P185" s="122"/>
      <c r="Q185" s="122"/>
      <c r="R185" s="122"/>
      <c r="S185" s="122"/>
      <c r="T185" s="122"/>
      <c r="U185" s="122"/>
      <c r="V185" s="122"/>
      <c r="W185" s="122"/>
      <c r="X185" s="122"/>
      <c r="Y185" s="122"/>
    </row>
    <row r="186" spans="1:25" ht="15.75" customHeight="1" x14ac:dyDescent="0.2">
      <c r="A186" s="181"/>
      <c r="B186" s="174"/>
      <c r="C186" s="175"/>
      <c r="D186" s="175"/>
      <c r="E186" s="175"/>
      <c r="F186" s="122"/>
      <c r="G186" s="122"/>
      <c r="H186" s="122"/>
      <c r="I186" s="122"/>
      <c r="J186" s="173"/>
      <c r="K186" s="181"/>
      <c r="L186" s="122"/>
      <c r="M186" s="122"/>
      <c r="N186" s="122"/>
      <c r="O186" s="122"/>
      <c r="P186" s="122"/>
      <c r="Q186" s="122"/>
      <c r="R186" s="122"/>
      <c r="S186" s="122"/>
      <c r="T186" s="122"/>
      <c r="U186" s="122"/>
      <c r="V186" s="122"/>
      <c r="W186" s="122"/>
      <c r="X186" s="122"/>
      <c r="Y186" s="122"/>
    </row>
    <row r="187" spans="1:25" ht="15.75" customHeight="1" x14ac:dyDescent="0.2">
      <c r="A187" s="181"/>
      <c r="B187" s="174"/>
      <c r="C187" s="175"/>
      <c r="D187" s="175"/>
      <c r="E187" s="175"/>
      <c r="F187" s="122"/>
      <c r="G187" s="122"/>
      <c r="H187" s="122"/>
      <c r="I187" s="122"/>
      <c r="J187" s="173"/>
      <c r="K187" s="181"/>
      <c r="L187" s="122"/>
      <c r="M187" s="122"/>
      <c r="N187" s="122"/>
      <c r="O187" s="122"/>
      <c r="P187" s="122"/>
      <c r="Q187" s="122"/>
      <c r="R187" s="122"/>
      <c r="S187" s="122"/>
      <c r="T187" s="122"/>
      <c r="U187" s="122"/>
      <c r="V187" s="122"/>
      <c r="W187" s="122"/>
      <c r="X187" s="122"/>
      <c r="Y187" s="122"/>
    </row>
    <row r="188" spans="1:25" ht="15.75" customHeight="1" x14ac:dyDescent="0.2">
      <c r="A188" s="181"/>
      <c r="B188" s="174"/>
      <c r="C188" s="175"/>
      <c r="D188" s="175"/>
      <c r="E188" s="175"/>
      <c r="F188" s="122"/>
      <c r="G188" s="122"/>
      <c r="H188" s="122"/>
      <c r="I188" s="122"/>
      <c r="J188" s="173"/>
      <c r="K188" s="181"/>
      <c r="L188" s="122"/>
      <c r="M188" s="122"/>
      <c r="N188" s="122"/>
      <c r="O188" s="122"/>
      <c r="P188" s="122"/>
      <c r="Q188" s="122"/>
      <c r="R188" s="122"/>
      <c r="S188" s="122"/>
      <c r="T188" s="122"/>
      <c r="U188" s="122"/>
      <c r="V188" s="122"/>
      <c r="W188" s="122"/>
      <c r="X188" s="122"/>
      <c r="Y188" s="122"/>
    </row>
    <row r="189" spans="1:25" ht="15.75" customHeight="1" x14ac:dyDescent="0.2">
      <c r="A189" s="181"/>
      <c r="B189" s="174"/>
      <c r="C189" s="175"/>
      <c r="D189" s="175"/>
      <c r="E189" s="175"/>
      <c r="F189" s="122"/>
      <c r="G189" s="122"/>
      <c r="H189" s="122"/>
      <c r="I189" s="122"/>
      <c r="J189" s="173"/>
      <c r="K189" s="181"/>
      <c r="L189" s="122"/>
      <c r="M189" s="122"/>
      <c r="N189" s="122"/>
      <c r="O189" s="122"/>
      <c r="P189" s="122"/>
      <c r="Q189" s="122"/>
      <c r="R189" s="122"/>
      <c r="S189" s="122"/>
      <c r="T189" s="122"/>
      <c r="U189" s="122"/>
      <c r="V189" s="122"/>
      <c r="W189" s="122"/>
      <c r="X189" s="122"/>
      <c r="Y189" s="122"/>
    </row>
    <row r="190" spans="1:25" ht="15.75" customHeight="1" x14ac:dyDescent="0.2">
      <c r="A190" s="181"/>
      <c r="B190" s="174"/>
      <c r="C190" s="175"/>
      <c r="D190" s="175"/>
      <c r="E190" s="175"/>
      <c r="F190" s="122"/>
      <c r="G190" s="122"/>
      <c r="H190" s="122"/>
      <c r="I190" s="122"/>
      <c r="J190" s="173"/>
      <c r="K190" s="181"/>
      <c r="L190" s="122"/>
      <c r="M190" s="122"/>
      <c r="N190" s="122"/>
      <c r="O190" s="122"/>
      <c r="P190" s="122"/>
      <c r="Q190" s="122"/>
      <c r="R190" s="122"/>
      <c r="S190" s="122"/>
      <c r="T190" s="122"/>
      <c r="U190" s="122"/>
      <c r="V190" s="122"/>
      <c r="W190" s="122"/>
      <c r="X190" s="122"/>
      <c r="Y190" s="122"/>
    </row>
    <row r="191" spans="1:25" ht="15.75" customHeight="1" x14ac:dyDescent="0.2">
      <c r="A191" s="181"/>
      <c r="B191" s="174"/>
      <c r="C191" s="175"/>
      <c r="D191" s="175"/>
      <c r="E191" s="175"/>
      <c r="F191" s="122"/>
      <c r="G191" s="122"/>
      <c r="H191" s="122"/>
      <c r="I191" s="122"/>
      <c r="J191" s="173"/>
      <c r="K191" s="181"/>
      <c r="L191" s="122"/>
      <c r="M191" s="122"/>
      <c r="N191" s="122"/>
      <c r="O191" s="122"/>
      <c r="P191" s="122"/>
      <c r="Q191" s="122"/>
      <c r="R191" s="122"/>
      <c r="S191" s="122"/>
      <c r="T191" s="122"/>
      <c r="U191" s="122"/>
      <c r="V191" s="122"/>
      <c r="W191" s="122"/>
      <c r="X191" s="122"/>
      <c r="Y191" s="122"/>
    </row>
    <row r="192" spans="1:25" ht="15.75" customHeight="1" x14ac:dyDescent="0.2">
      <c r="A192" s="181"/>
      <c r="B192" s="174"/>
      <c r="C192" s="175"/>
      <c r="D192" s="175"/>
      <c r="E192" s="175"/>
      <c r="F192" s="122"/>
      <c r="G192" s="122"/>
      <c r="H192" s="122"/>
      <c r="I192" s="122"/>
      <c r="J192" s="173"/>
      <c r="K192" s="181"/>
      <c r="L192" s="122"/>
      <c r="M192" s="122"/>
      <c r="N192" s="122"/>
      <c r="O192" s="122"/>
      <c r="P192" s="122"/>
      <c r="Q192" s="122"/>
      <c r="R192" s="122"/>
      <c r="S192" s="122"/>
      <c r="T192" s="122"/>
      <c r="U192" s="122"/>
      <c r="V192" s="122"/>
      <c r="W192" s="122"/>
      <c r="X192" s="122"/>
      <c r="Y192" s="122"/>
    </row>
    <row r="193" spans="1:25" ht="15.75" customHeight="1" x14ac:dyDescent="0.2">
      <c r="A193" s="181"/>
      <c r="B193" s="174"/>
      <c r="C193" s="175"/>
      <c r="D193" s="175"/>
      <c r="E193" s="175"/>
      <c r="F193" s="122"/>
      <c r="G193" s="122"/>
      <c r="H193" s="122"/>
      <c r="I193" s="122"/>
      <c r="J193" s="173"/>
      <c r="K193" s="181"/>
      <c r="L193" s="122"/>
      <c r="M193" s="122"/>
      <c r="N193" s="122"/>
      <c r="O193" s="122"/>
      <c r="P193" s="122"/>
      <c r="Q193" s="122"/>
      <c r="R193" s="122"/>
      <c r="S193" s="122"/>
      <c r="T193" s="122"/>
      <c r="U193" s="122"/>
      <c r="V193" s="122"/>
      <c r="W193" s="122"/>
      <c r="X193" s="122"/>
      <c r="Y193" s="122"/>
    </row>
    <row r="194" spans="1:25" ht="15.75" customHeight="1" x14ac:dyDescent="0.2">
      <c r="A194" s="181"/>
      <c r="B194" s="174"/>
      <c r="C194" s="175"/>
      <c r="D194" s="175"/>
      <c r="E194" s="175"/>
      <c r="F194" s="122"/>
      <c r="G194" s="122"/>
      <c r="H194" s="122"/>
      <c r="I194" s="122"/>
      <c r="J194" s="173"/>
      <c r="K194" s="181"/>
      <c r="L194" s="122"/>
      <c r="M194" s="122"/>
      <c r="N194" s="122"/>
      <c r="O194" s="122"/>
      <c r="P194" s="122"/>
      <c r="Q194" s="122"/>
      <c r="R194" s="122"/>
      <c r="S194" s="122"/>
      <c r="T194" s="122"/>
      <c r="U194" s="122"/>
      <c r="V194" s="122"/>
      <c r="W194" s="122"/>
      <c r="X194" s="122"/>
      <c r="Y194" s="122"/>
    </row>
    <row r="195" spans="1:25" ht="15.75" customHeight="1" x14ac:dyDescent="0.2">
      <c r="A195" s="181"/>
      <c r="B195" s="174"/>
      <c r="C195" s="175"/>
      <c r="D195" s="175"/>
      <c r="E195" s="175"/>
      <c r="F195" s="122"/>
      <c r="G195" s="122"/>
      <c r="H195" s="122"/>
      <c r="I195" s="122"/>
      <c r="J195" s="173"/>
      <c r="K195" s="181"/>
      <c r="L195" s="122"/>
      <c r="M195" s="122"/>
      <c r="N195" s="122"/>
      <c r="O195" s="122"/>
      <c r="P195" s="122"/>
      <c r="Q195" s="122"/>
      <c r="R195" s="122"/>
      <c r="S195" s="122"/>
      <c r="T195" s="122"/>
      <c r="U195" s="122"/>
      <c r="V195" s="122"/>
      <c r="W195" s="122"/>
      <c r="X195" s="122"/>
      <c r="Y195" s="122"/>
    </row>
    <row r="196" spans="1:25" ht="15.75" customHeight="1" x14ac:dyDescent="0.2">
      <c r="A196" s="181"/>
      <c r="B196" s="174"/>
      <c r="C196" s="175"/>
      <c r="D196" s="175"/>
      <c r="E196" s="175"/>
      <c r="F196" s="122"/>
      <c r="G196" s="122"/>
      <c r="H196" s="122"/>
      <c r="I196" s="122"/>
      <c r="J196" s="173"/>
      <c r="K196" s="181"/>
      <c r="L196" s="122"/>
      <c r="M196" s="122"/>
      <c r="N196" s="122"/>
      <c r="O196" s="122"/>
      <c r="P196" s="122"/>
      <c r="Q196" s="122"/>
      <c r="R196" s="122"/>
      <c r="S196" s="122"/>
      <c r="T196" s="122"/>
      <c r="U196" s="122"/>
      <c r="V196" s="122"/>
      <c r="W196" s="122"/>
      <c r="X196" s="122"/>
      <c r="Y196" s="122"/>
    </row>
    <row r="197" spans="1:25" ht="15.75" customHeight="1" x14ac:dyDescent="0.2">
      <c r="A197" s="181"/>
      <c r="B197" s="174"/>
      <c r="C197" s="175"/>
      <c r="D197" s="175"/>
      <c r="E197" s="175"/>
      <c r="F197" s="122"/>
      <c r="G197" s="122"/>
      <c r="H197" s="122"/>
      <c r="I197" s="122"/>
      <c r="J197" s="173"/>
      <c r="K197" s="181"/>
      <c r="L197" s="122"/>
      <c r="M197" s="122"/>
      <c r="N197" s="122"/>
      <c r="O197" s="122"/>
      <c r="P197" s="122"/>
      <c r="Q197" s="122"/>
      <c r="R197" s="122"/>
      <c r="S197" s="122"/>
      <c r="T197" s="122"/>
      <c r="U197" s="122"/>
      <c r="V197" s="122"/>
      <c r="W197" s="122"/>
      <c r="X197" s="122"/>
      <c r="Y197" s="122"/>
    </row>
    <row r="198" spans="1:25" ht="15.75" customHeight="1" x14ac:dyDescent="0.2">
      <c r="A198" s="181"/>
      <c r="B198" s="174"/>
      <c r="C198" s="175"/>
      <c r="D198" s="175"/>
      <c r="E198" s="175"/>
      <c r="F198" s="122"/>
      <c r="G198" s="122"/>
      <c r="H198" s="122"/>
      <c r="I198" s="122"/>
      <c r="J198" s="173"/>
      <c r="K198" s="181"/>
      <c r="L198" s="122"/>
      <c r="M198" s="122"/>
      <c r="N198" s="122"/>
      <c r="O198" s="122"/>
      <c r="P198" s="122"/>
      <c r="Q198" s="122"/>
      <c r="R198" s="122"/>
      <c r="S198" s="122"/>
      <c r="T198" s="122"/>
      <c r="U198" s="122"/>
      <c r="V198" s="122"/>
      <c r="W198" s="122"/>
      <c r="X198" s="122"/>
      <c r="Y198" s="122"/>
    </row>
    <row r="199" spans="1:25" ht="15.75" customHeight="1" x14ac:dyDescent="0.2">
      <c r="A199" s="181"/>
      <c r="B199" s="174"/>
      <c r="C199" s="175"/>
      <c r="D199" s="175"/>
      <c r="E199" s="175"/>
      <c r="F199" s="122"/>
      <c r="G199" s="122"/>
      <c r="H199" s="122"/>
      <c r="I199" s="122"/>
      <c r="J199" s="173"/>
      <c r="K199" s="181"/>
      <c r="L199" s="122"/>
      <c r="M199" s="122"/>
      <c r="N199" s="122"/>
      <c r="O199" s="122"/>
      <c r="P199" s="122"/>
      <c r="Q199" s="122"/>
      <c r="R199" s="122"/>
      <c r="S199" s="122"/>
      <c r="T199" s="122"/>
      <c r="U199" s="122"/>
      <c r="V199" s="122"/>
      <c r="W199" s="122"/>
      <c r="X199" s="122"/>
      <c r="Y199" s="122"/>
    </row>
    <row r="200" spans="1:25" ht="15.75" customHeight="1" x14ac:dyDescent="0.2">
      <c r="A200" s="181"/>
      <c r="B200" s="174"/>
      <c r="C200" s="175"/>
      <c r="D200" s="175"/>
      <c r="E200" s="175"/>
      <c r="F200" s="122"/>
      <c r="G200" s="122"/>
      <c r="H200" s="122"/>
      <c r="I200" s="122"/>
      <c r="J200" s="173"/>
      <c r="K200" s="181"/>
      <c r="L200" s="122"/>
      <c r="M200" s="122"/>
      <c r="N200" s="122"/>
      <c r="O200" s="122"/>
      <c r="P200" s="122"/>
      <c r="Q200" s="122"/>
      <c r="R200" s="122"/>
      <c r="S200" s="122"/>
      <c r="T200" s="122"/>
      <c r="U200" s="122"/>
      <c r="V200" s="122"/>
      <c r="W200" s="122"/>
      <c r="X200" s="122"/>
      <c r="Y200" s="122"/>
    </row>
    <row r="201" spans="1:25" ht="15.75" customHeight="1" x14ac:dyDescent="0.2">
      <c r="A201" s="181"/>
      <c r="B201" s="174"/>
      <c r="C201" s="175"/>
      <c r="D201" s="175"/>
      <c r="E201" s="175"/>
      <c r="F201" s="122"/>
      <c r="G201" s="122"/>
      <c r="H201" s="122"/>
      <c r="I201" s="122"/>
      <c r="J201" s="173"/>
      <c r="K201" s="181"/>
      <c r="L201" s="122"/>
      <c r="M201" s="122"/>
      <c r="N201" s="122"/>
      <c r="O201" s="122"/>
      <c r="P201" s="122"/>
      <c r="Q201" s="122"/>
      <c r="R201" s="122"/>
      <c r="S201" s="122"/>
      <c r="T201" s="122"/>
      <c r="U201" s="122"/>
      <c r="V201" s="122"/>
      <c r="W201" s="122"/>
      <c r="X201" s="122"/>
      <c r="Y201" s="122"/>
    </row>
    <row r="202" spans="1:25" ht="15.75" customHeight="1" x14ac:dyDescent="0.2">
      <c r="A202" s="181"/>
      <c r="B202" s="174"/>
      <c r="C202" s="175"/>
      <c r="D202" s="175"/>
      <c r="E202" s="175"/>
      <c r="F202" s="122"/>
      <c r="G202" s="122"/>
      <c r="H202" s="122"/>
      <c r="I202" s="122"/>
      <c r="J202" s="173"/>
      <c r="K202" s="181"/>
      <c r="L202" s="122"/>
      <c r="M202" s="122"/>
      <c r="N202" s="122"/>
      <c r="O202" s="122"/>
      <c r="P202" s="122"/>
      <c r="Q202" s="122"/>
      <c r="R202" s="122"/>
      <c r="S202" s="122"/>
      <c r="T202" s="122"/>
      <c r="U202" s="122"/>
      <c r="V202" s="122"/>
      <c r="W202" s="122"/>
      <c r="X202" s="122"/>
      <c r="Y202" s="122"/>
    </row>
    <row r="203" spans="1:25" ht="15.75" customHeight="1" x14ac:dyDescent="0.2">
      <c r="A203" s="181"/>
      <c r="B203" s="174"/>
      <c r="C203" s="175"/>
      <c r="D203" s="175"/>
      <c r="E203" s="175"/>
      <c r="F203" s="122"/>
      <c r="G203" s="122"/>
      <c r="H203" s="122"/>
      <c r="I203" s="122"/>
      <c r="J203" s="173"/>
      <c r="K203" s="181"/>
      <c r="L203" s="122"/>
      <c r="M203" s="122"/>
      <c r="N203" s="122"/>
      <c r="O203" s="122"/>
      <c r="P203" s="122"/>
      <c r="Q203" s="122"/>
      <c r="R203" s="122"/>
      <c r="S203" s="122"/>
      <c r="T203" s="122"/>
      <c r="U203" s="122"/>
      <c r="V203" s="122"/>
      <c r="W203" s="122"/>
      <c r="X203" s="122"/>
      <c r="Y203" s="122"/>
    </row>
    <row r="204" spans="1:25" ht="15.75" customHeight="1" x14ac:dyDescent="0.2">
      <c r="A204" s="181"/>
      <c r="B204" s="174"/>
      <c r="C204" s="175"/>
      <c r="D204" s="175"/>
      <c r="E204" s="175"/>
      <c r="F204" s="122"/>
      <c r="G204" s="122"/>
      <c r="H204" s="122"/>
      <c r="I204" s="122"/>
      <c r="J204" s="173"/>
      <c r="K204" s="181"/>
      <c r="L204" s="122"/>
      <c r="M204" s="122"/>
      <c r="N204" s="122"/>
      <c r="O204" s="122"/>
      <c r="P204" s="122"/>
      <c r="Q204" s="122"/>
      <c r="R204" s="122"/>
      <c r="S204" s="122"/>
      <c r="T204" s="122"/>
      <c r="U204" s="122"/>
      <c r="V204" s="122"/>
      <c r="W204" s="122"/>
      <c r="X204" s="122"/>
      <c r="Y204" s="122"/>
    </row>
    <row r="205" spans="1:25" ht="15.75" customHeight="1" x14ac:dyDescent="0.2">
      <c r="A205" s="181"/>
      <c r="B205" s="174"/>
      <c r="C205" s="175"/>
      <c r="D205" s="175"/>
      <c r="E205" s="175"/>
      <c r="F205" s="122"/>
      <c r="G205" s="122"/>
      <c r="H205" s="122"/>
      <c r="I205" s="122"/>
      <c r="J205" s="173"/>
      <c r="K205" s="181"/>
      <c r="L205" s="122"/>
      <c r="M205" s="122"/>
      <c r="N205" s="122"/>
      <c r="O205" s="122"/>
      <c r="P205" s="122"/>
      <c r="Q205" s="122"/>
      <c r="R205" s="122"/>
      <c r="S205" s="122"/>
      <c r="T205" s="122"/>
      <c r="U205" s="122"/>
      <c r="V205" s="122"/>
      <c r="W205" s="122"/>
      <c r="X205" s="122"/>
      <c r="Y205" s="122"/>
    </row>
    <row r="206" spans="1:25" ht="15.75" customHeight="1" x14ac:dyDescent="0.2">
      <c r="A206" s="181"/>
      <c r="B206" s="174"/>
      <c r="C206" s="175"/>
      <c r="D206" s="175"/>
      <c r="E206" s="175"/>
      <c r="F206" s="122"/>
      <c r="G206" s="122"/>
      <c r="H206" s="122"/>
      <c r="I206" s="122"/>
      <c r="J206" s="173"/>
      <c r="K206" s="181"/>
      <c r="L206" s="122"/>
      <c r="M206" s="122"/>
      <c r="N206" s="122"/>
      <c r="O206" s="122"/>
      <c r="P206" s="122"/>
      <c r="Q206" s="122"/>
      <c r="R206" s="122"/>
      <c r="S206" s="122"/>
      <c r="T206" s="122"/>
      <c r="U206" s="122"/>
      <c r="V206" s="122"/>
      <c r="W206" s="122"/>
      <c r="X206" s="122"/>
      <c r="Y206" s="122"/>
    </row>
    <row r="207" spans="1:25" ht="15.75" customHeight="1" x14ac:dyDescent="0.2">
      <c r="A207" s="181"/>
      <c r="B207" s="174"/>
      <c r="C207" s="175"/>
      <c r="D207" s="175"/>
      <c r="E207" s="175"/>
      <c r="F207" s="122"/>
      <c r="G207" s="122"/>
      <c r="H207" s="122"/>
      <c r="I207" s="122"/>
      <c r="J207" s="173"/>
      <c r="K207" s="181"/>
      <c r="L207" s="122"/>
      <c r="M207" s="122"/>
      <c r="N207" s="122"/>
      <c r="O207" s="122"/>
      <c r="P207" s="122"/>
      <c r="Q207" s="122"/>
      <c r="R207" s="122"/>
      <c r="S207" s="122"/>
      <c r="T207" s="122"/>
      <c r="U207" s="122"/>
      <c r="V207" s="122"/>
      <c r="W207" s="122"/>
      <c r="X207" s="122"/>
      <c r="Y207" s="122"/>
    </row>
    <row r="208" spans="1:25" ht="15.75" customHeight="1" x14ac:dyDescent="0.2">
      <c r="A208" s="181"/>
      <c r="B208" s="174"/>
      <c r="C208" s="175"/>
      <c r="D208" s="175"/>
      <c r="E208" s="175"/>
      <c r="F208" s="122"/>
      <c r="G208" s="122"/>
      <c r="H208" s="122"/>
      <c r="I208" s="122"/>
      <c r="J208" s="173"/>
      <c r="K208" s="181"/>
      <c r="L208" s="122"/>
      <c r="M208" s="122"/>
      <c r="N208" s="122"/>
      <c r="O208" s="122"/>
      <c r="P208" s="122"/>
      <c r="Q208" s="122"/>
      <c r="R208" s="122"/>
      <c r="S208" s="122"/>
      <c r="T208" s="122"/>
      <c r="U208" s="122"/>
      <c r="V208" s="122"/>
      <c r="W208" s="122"/>
      <c r="X208" s="122"/>
      <c r="Y208" s="122"/>
    </row>
    <row r="209" spans="1:25" ht="15.75" customHeight="1" x14ac:dyDescent="0.2">
      <c r="A209" s="181"/>
      <c r="B209" s="174"/>
      <c r="C209" s="175"/>
      <c r="D209" s="175"/>
      <c r="E209" s="175"/>
      <c r="F209" s="122"/>
      <c r="G209" s="122"/>
      <c r="H209" s="122"/>
      <c r="I209" s="122"/>
      <c r="J209" s="173"/>
      <c r="K209" s="181"/>
      <c r="L209" s="122"/>
      <c r="M209" s="122"/>
      <c r="N209" s="122"/>
      <c r="O209" s="122"/>
      <c r="P209" s="122"/>
      <c r="Q209" s="122"/>
      <c r="R209" s="122"/>
      <c r="S209" s="122"/>
      <c r="T209" s="122"/>
      <c r="U209" s="122"/>
      <c r="V209" s="122"/>
      <c r="W209" s="122"/>
      <c r="X209" s="122"/>
      <c r="Y209" s="122"/>
    </row>
    <row r="210" spans="1:25" ht="15.75" customHeight="1" x14ac:dyDescent="0.2">
      <c r="A210" s="181"/>
      <c r="B210" s="174"/>
      <c r="C210" s="175"/>
      <c r="D210" s="175"/>
      <c r="E210" s="175"/>
      <c r="F210" s="122"/>
      <c r="G210" s="122"/>
      <c r="H210" s="122"/>
      <c r="I210" s="122"/>
      <c r="J210" s="173"/>
      <c r="K210" s="181"/>
      <c r="L210" s="122"/>
      <c r="M210" s="122"/>
      <c r="N210" s="122"/>
      <c r="O210" s="122"/>
      <c r="P210" s="122"/>
      <c r="Q210" s="122"/>
      <c r="R210" s="122"/>
      <c r="S210" s="122"/>
      <c r="T210" s="122"/>
      <c r="U210" s="122"/>
      <c r="V210" s="122"/>
      <c r="W210" s="122"/>
      <c r="X210" s="122"/>
      <c r="Y210" s="122"/>
    </row>
    <row r="211" spans="1:25" ht="15.75" customHeight="1" x14ac:dyDescent="0.2">
      <c r="A211" s="181"/>
      <c r="B211" s="174"/>
      <c r="C211" s="175"/>
      <c r="D211" s="175"/>
      <c r="E211" s="175"/>
      <c r="F211" s="122"/>
      <c r="G211" s="122"/>
      <c r="H211" s="122"/>
      <c r="I211" s="122"/>
      <c r="J211" s="173"/>
      <c r="K211" s="181"/>
      <c r="L211" s="122"/>
      <c r="M211" s="122"/>
      <c r="N211" s="122"/>
      <c r="O211" s="122"/>
      <c r="P211" s="122"/>
      <c r="Q211" s="122"/>
      <c r="R211" s="122"/>
      <c r="S211" s="122"/>
      <c r="T211" s="122"/>
      <c r="U211" s="122"/>
      <c r="V211" s="122"/>
      <c r="W211" s="122"/>
      <c r="X211" s="122"/>
      <c r="Y211" s="122"/>
    </row>
    <row r="212" spans="1:25" ht="15.75" customHeight="1" x14ac:dyDescent="0.2">
      <c r="A212" s="181"/>
      <c r="B212" s="174"/>
      <c r="C212" s="175"/>
      <c r="D212" s="175"/>
      <c r="E212" s="175"/>
      <c r="F212" s="122"/>
      <c r="G212" s="122"/>
      <c r="H212" s="122"/>
      <c r="I212" s="122"/>
      <c r="J212" s="173"/>
      <c r="K212" s="181"/>
      <c r="L212" s="122"/>
      <c r="M212" s="122"/>
      <c r="N212" s="122"/>
      <c r="O212" s="122"/>
      <c r="P212" s="122"/>
      <c r="Q212" s="122"/>
      <c r="R212" s="122"/>
      <c r="S212" s="122"/>
      <c r="T212" s="122"/>
      <c r="U212" s="122"/>
      <c r="V212" s="122"/>
      <c r="W212" s="122"/>
      <c r="X212" s="122"/>
      <c r="Y212" s="122"/>
    </row>
    <row r="213" spans="1:25" ht="15.75" customHeight="1" x14ac:dyDescent="0.2">
      <c r="A213" s="181"/>
      <c r="B213" s="174"/>
      <c r="C213" s="175"/>
      <c r="D213" s="175"/>
      <c r="E213" s="175"/>
      <c r="F213" s="122"/>
      <c r="G213" s="122"/>
      <c r="H213" s="122"/>
      <c r="I213" s="122"/>
      <c r="J213" s="173"/>
      <c r="K213" s="181"/>
      <c r="L213" s="122"/>
      <c r="M213" s="122"/>
      <c r="N213" s="122"/>
      <c r="O213" s="122"/>
      <c r="P213" s="122"/>
      <c r="Q213" s="122"/>
      <c r="R213" s="122"/>
      <c r="S213" s="122"/>
      <c r="T213" s="122"/>
      <c r="U213" s="122"/>
      <c r="V213" s="122"/>
      <c r="W213" s="122"/>
      <c r="X213" s="122"/>
      <c r="Y213" s="122"/>
    </row>
    <row r="214" spans="1:25" ht="15.75" customHeight="1" x14ac:dyDescent="0.2">
      <c r="A214" s="181"/>
      <c r="B214" s="174"/>
      <c r="C214" s="175"/>
      <c r="D214" s="175"/>
      <c r="E214" s="175"/>
      <c r="F214" s="122"/>
      <c r="G214" s="122"/>
      <c r="H214" s="122"/>
      <c r="I214" s="122"/>
      <c r="J214" s="173"/>
      <c r="K214" s="181"/>
      <c r="L214" s="122"/>
      <c r="M214" s="122"/>
      <c r="N214" s="122"/>
      <c r="O214" s="122"/>
      <c r="P214" s="122"/>
      <c r="Q214" s="122"/>
      <c r="R214" s="122"/>
      <c r="S214" s="122"/>
      <c r="T214" s="122"/>
      <c r="U214" s="122"/>
      <c r="V214" s="122"/>
      <c r="W214" s="122"/>
      <c r="X214" s="122"/>
      <c r="Y214" s="122"/>
    </row>
    <row r="215" spans="1:25" ht="15.75" customHeight="1" x14ac:dyDescent="0.2">
      <c r="A215" s="181"/>
      <c r="B215" s="174"/>
      <c r="C215" s="175"/>
      <c r="D215" s="175"/>
      <c r="E215" s="175"/>
      <c r="F215" s="122"/>
      <c r="G215" s="122"/>
      <c r="H215" s="122"/>
      <c r="I215" s="122"/>
      <c r="J215" s="173"/>
      <c r="K215" s="181"/>
      <c r="L215" s="122"/>
      <c r="M215" s="122"/>
      <c r="N215" s="122"/>
      <c r="O215" s="122"/>
      <c r="P215" s="122"/>
      <c r="Q215" s="122"/>
      <c r="R215" s="122"/>
      <c r="S215" s="122"/>
      <c r="T215" s="122"/>
      <c r="U215" s="122"/>
      <c r="V215" s="122"/>
      <c r="W215" s="122"/>
      <c r="X215" s="122"/>
      <c r="Y215" s="122"/>
    </row>
    <row r="216" spans="1:25" ht="15.75" customHeight="1" x14ac:dyDescent="0.2">
      <c r="A216" s="181"/>
      <c r="B216" s="174"/>
      <c r="C216" s="175"/>
      <c r="D216" s="175"/>
      <c r="E216" s="175"/>
      <c r="F216" s="122"/>
      <c r="G216" s="122"/>
      <c r="H216" s="122"/>
      <c r="I216" s="122"/>
      <c r="J216" s="173"/>
      <c r="K216" s="181"/>
      <c r="L216" s="122"/>
      <c r="M216" s="122"/>
      <c r="N216" s="122"/>
      <c r="O216" s="122"/>
      <c r="P216" s="122"/>
      <c r="Q216" s="122"/>
      <c r="R216" s="122"/>
      <c r="S216" s="122"/>
      <c r="T216" s="122"/>
      <c r="U216" s="122"/>
      <c r="V216" s="122"/>
      <c r="W216" s="122"/>
      <c r="X216" s="122"/>
      <c r="Y216" s="122"/>
    </row>
    <row r="217" spans="1:25" ht="15.75" customHeight="1" x14ac:dyDescent="0.2">
      <c r="A217" s="181"/>
      <c r="B217" s="174"/>
      <c r="C217" s="175"/>
      <c r="D217" s="175"/>
      <c r="E217" s="175"/>
      <c r="F217" s="122"/>
      <c r="G217" s="122"/>
      <c r="H217" s="122"/>
      <c r="I217" s="122"/>
      <c r="J217" s="173"/>
      <c r="K217" s="181"/>
      <c r="L217" s="122"/>
      <c r="M217" s="122"/>
      <c r="N217" s="122"/>
      <c r="O217" s="122"/>
      <c r="P217" s="122"/>
      <c r="Q217" s="122"/>
      <c r="R217" s="122"/>
      <c r="S217" s="122"/>
      <c r="T217" s="122"/>
      <c r="U217" s="122"/>
      <c r="V217" s="122"/>
      <c r="W217" s="122"/>
      <c r="X217" s="122"/>
      <c r="Y217" s="122"/>
    </row>
    <row r="218" spans="1:25" ht="15.75" customHeight="1" x14ac:dyDescent="0.2">
      <c r="A218" s="181"/>
      <c r="B218" s="174"/>
      <c r="C218" s="175"/>
      <c r="D218" s="175"/>
      <c r="E218" s="175"/>
      <c r="F218" s="122"/>
      <c r="G218" s="122"/>
      <c r="H218" s="122"/>
      <c r="I218" s="122"/>
      <c r="J218" s="173"/>
      <c r="K218" s="181"/>
      <c r="L218" s="122"/>
      <c r="M218" s="122"/>
      <c r="N218" s="122"/>
      <c r="O218" s="122"/>
      <c r="P218" s="122"/>
      <c r="Q218" s="122"/>
      <c r="R218" s="122"/>
      <c r="S218" s="122"/>
      <c r="T218" s="122"/>
      <c r="U218" s="122"/>
      <c r="V218" s="122"/>
      <c r="W218" s="122"/>
      <c r="X218" s="122"/>
      <c r="Y218" s="122"/>
    </row>
    <row r="219" spans="1:25" ht="15.75" customHeight="1" x14ac:dyDescent="0.2">
      <c r="A219" s="181"/>
      <c r="B219" s="174"/>
      <c r="C219" s="175"/>
      <c r="D219" s="175"/>
      <c r="E219" s="175"/>
      <c r="F219" s="122"/>
      <c r="G219" s="122"/>
      <c r="H219" s="122"/>
      <c r="I219" s="122"/>
      <c r="J219" s="173"/>
      <c r="K219" s="181"/>
      <c r="L219" s="122"/>
      <c r="M219" s="122"/>
      <c r="N219" s="122"/>
      <c r="O219" s="122"/>
      <c r="P219" s="122"/>
      <c r="Q219" s="122"/>
      <c r="R219" s="122"/>
      <c r="S219" s="122"/>
      <c r="T219" s="122"/>
      <c r="U219" s="122"/>
      <c r="V219" s="122"/>
      <c r="W219" s="122"/>
      <c r="X219" s="122"/>
      <c r="Y219" s="122"/>
    </row>
    <row r="220" spans="1:25" ht="15.75" customHeight="1" x14ac:dyDescent="0.2">
      <c r="A220" s="181"/>
      <c r="B220" s="174"/>
      <c r="C220" s="175"/>
      <c r="D220" s="175"/>
      <c r="E220" s="175"/>
      <c r="F220" s="122"/>
      <c r="G220" s="122"/>
      <c r="H220" s="122"/>
      <c r="I220" s="122"/>
      <c r="J220" s="173"/>
      <c r="K220" s="181"/>
      <c r="L220" s="122"/>
      <c r="M220" s="122"/>
      <c r="N220" s="122"/>
      <c r="O220" s="122"/>
      <c r="P220" s="122"/>
      <c r="Q220" s="122"/>
      <c r="R220" s="122"/>
      <c r="S220" s="122"/>
      <c r="T220" s="122"/>
      <c r="U220" s="122"/>
      <c r="V220" s="122"/>
      <c r="W220" s="122"/>
      <c r="X220" s="122"/>
      <c r="Y220" s="122"/>
    </row>
    <row r="221" spans="1:25" ht="15.75" customHeight="1" x14ac:dyDescent="0.2">
      <c r="A221" s="181"/>
      <c r="B221" s="174"/>
      <c r="C221" s="175"/>
      <c r="D221" s="175"/>
      <c r="E221" s="175"/>
      <c r="F221" s="122"/>
      <c r="G221" s="122"/>
      <c r="H221" s="122"/>
      <c r="I221" s="122"/>
      <c r="J221" s="173"/>
      <c r="K221" s="181"/>
      <c r="L221" s="122"/>
      <c r="M221" s="122"/>
      <c r="N221" s="122"/>
      <c r="O221" s="122"/>
      <c r="P221" s="122"/>
      <c r="Q221" s="122"/>
      <c r="R221" s="122"/>
      <c r="S221" s="122"/>
      <c r="T221" s="122"/>
      <c r="U221" s="122"/>
      <c r="V221" s="122"/>
      <c r="W221" s="122"/>
      <c r="X221" s="122"/>
      <c r="Y221" s="122"/>
    </row>
    <row r="222" spans="1:25" ht="15.75" customHeight="1" x14ac:dyDescent="0.2">
      <c r="A222" s="181"/>
      <c r="B222" s="174"/>
      <c r="C222" s="175"/>
      <c r="D222" s="175"/>
      <c r="E222" s="175"/>
      <c r="F222" s="122"/>
      <c r="G222" s="122"/>
      <c r="H222" s="122"/>
      <c r="I222" s="122"/>
      <c r="J222" s="173"/>
      <c r="K222" s="181"/>
      <c r="L222" s="122"/>
      <c r="M222" s="122"/>
      <c r="N222" s="122"/>
      <c r="O222" s="122"/>
      <c r="P222" s="122"/>
      <c r="Q222" s="122"/>
      <c r="R222" s="122"/>
      <c r="S222" s="122"/>
      <c r="T222" s="122"/>
      <c r="U222" s="122"/>
      <c r="V222" s="122"/>
      <c r="W222" s="122"/>
      <c r="X222" s="122"/>
      <c r="Y222" s="122"/>
    </row>
    <row r="223" spans="1:25" ht="15.75" customHeight="1" x14ac:dyDescent="0.2">
      <c r="A223" s="181"/>
      <c r="B223" s="174"/>
      <c r="C223" s="175"/>
      <c r="D223" s="175"/>
      <c r="E223" s="175"/>
      <c r="F223" s="122"/>
      <c r="G223" s="122"/>
      <c r="H223" s="122"/>
      <c r="I223" s="122"/>
      <c r="J223" s="173"/>
      <c r="K223" s="181"/>
      <c r="L223" s="122"/>
      <c r="M223" s="122"/>
      <c r="N223" s="122"/>
      <c r="O223" s="122"/>
      <c r="P223" s="122"/>
      <c r="Q223" s="122"/>
      <c r="R223" s="122"/>
      <c r="S223" s="122"/>
      <c r="T223" s="122"/>
      <c r="U223" s="122"/>
      <c r="V223" s="122"/>
      <c r="W223" s="122"/>
      <c r="X223" s="122"/>
      <c r="Y223" s="122"/>
    </row>
    <row r="224" spans="1:25" ht="15.75" customHeight="1" x14ac:dyDescent="0.2">
      <c r="A224" s="181"/>
      <c r="B224" s="174"/>
      <c r="C224" s="175"/>
      <c r="D224" s="175"/>
      <c r="E224" s="175"/>
      <c r="F224" s="122"/>
      <c r="G224" s="122"/>
      <c r="H224" s="122"/>
      <c r="I224" s="122"/>
      <c r="J224" s="173"/>
      <c r="K224" s="181"/>
      <c r="L224" s="122"/>
      <c r="M224" s="122"/>
      <c r="N224" s="122"/>
      <c r="O224" s="122"/>
      <c r="P224" s="122"/>
      <c r="Q224" s="122"/>
      <c r="R224" s="122"/>
      <c r="S224" s="122"/>
      <c r="T224" s="122"/>
      <c r="U224" s="122"/>
      <c r="V224" s="122"/>
      <c r="W224" s="122"/>
      <c r="X224" s="122"/>
      <c r="Y224" s="122"/>
    </row>
    <row r="225" spans="1:25" ht="15.75" customHeight="1" x14ac:dyDescent="0.2">
      <c r="A225" s="181"/>
      <c r="B225" s="174"/>
      <c r="C225" s="175"/>
      <c r="D225" s="175"/>
      <c r="E225" s="175"/>
      <c r="F225" s="122"/>
      <c r="G225" s="122"/>
      <c r="H225" s="122"/>
      <c r="I225" s="122"/>
      <c r="J225" s="173"/>
      <c r="K225" s="181"/>
      <c r="L225" s="122"/>
      <c r="M225" s="122"/>
      <c r="N225" s="122"/>
      <c r="O225" s="122"/>
      <c r="P225" s="122"/>
      <c r="Q225" s="122"/>
      <c r="R225" s="122"/>
      <c r="S225" s="122"/>
      <c r="T225" s="122"/>
      <c r="U225" s="122"/>
      <c r="V225" s="122"/>
      <c r="W225" s="122"/>
      <c r="X225" s="122"/>
      <c r="Y225" s="122"/>
    </row>
    <row r="226" spans="1:25" ht="15.75" customHeight="1" x14ac:dyDescent="0.2">
      <c r="A226" s="181"/>
      <c r="B226" s="174"/>
      <c r="C226" s="175"/>
      <c r="D226" s="175"/>
      <c r="E226" s="175"/>
      <c r="F226" s="122"/>
      <c r="G226" s="122"/>
      <c r="H226" s="122"/>
      <c r="I226" s="122"/>
      <c r="J226" s="173"/>
      <c r="K226" s="181"/>
      <c r="L226" s="122"/>
      <c r="M226" s="122"/>
      <c r="N226" s="122"/>
      <c r="O226" s="122"/>
      <c r="P226" s="122"/>
      <c r="Q226" s="122"/>
      <c r="R226" s="122"/>
      <c r="S226" s="122"/>
      <c r="T226" s="122"/>
      <c r="U226" s="122"/>
      <c r="V226" s="122"/>
      <c r="W226" s="122"/>
      <c r="X226" s="122"/>
      <c r="Y226" s="122"/>
    </row>
    <row r="227" spans="1:25" ht="15.75" customHeight="1" x14ac:dyDescent="0.2">
      <c r="A227" s="181"/>
      <c r="B227" s="174"/>
      <c r="C227" s="175"/>
      <c r="D227" s="175"/>
      <c r="E227" s="175"/>
      <c r="F227" s="122"/>
      <c r="G227" s="122"/>
      <c r="H227" s="122"/>
      <c r="I227" s="122"/>
      <c r="J227" s="173"/>
      <c r="K227" s="181"/>
      <c r="L227" s="122"/>
      <c r="M227" s="122"/>
      <c r="N227" s="122"/>
      <c r="O227" s="122"/>
      <c r="P227" s="122"/>
      <c r="Q227" s="122"/>
      <c r="R227" s="122"/>
      <c r="S227" s="122"/>
      <c r="T227" s="122"/>
      <c r="U227" s="122"/>
      <c r="V227" s="122"/>
      <c r="W227" s="122"/>
      <c r="X227" s="122"/>
      <c r="Y227" s="122"/>
    </row>
    <row r="228" spans="1:25" ht="15.75" customHeight="1" x14ac:dyDescent="0.2">
      <c r="A228" s="181"/>
      <c r="B228" s="174"/>
      <c r="C228" s="175"/>
      <c r="D228" s="175"/>
      <c r="E228" s="175"/>
      <c r="F228" s="122"/>
      <c r="G228" s="122"/>
      <c r="H228" s="122"/>
      <c r="I228" s="122"/>
      <c r="J228" s="173"/>
      <c r="K228" s="181"/>
      <c r="L228" s="122"/>
      <c r="M228" s="122"/>
      <c r="N228" s="122"/>
      <c r="O228" s="122"/>
      <c r="P228" s="122"/>
      <c r="Q228" s="122"/>
      <c r="R228" s="122"/>
      <c r="S228" s="122"/>
      <c r="T228" s="122"/>
      <c r="U228" s="122"/>
      <c r="V228" s="122"/>
      <c r="W228" s="122"/>
      <c r="X228" s="122"/>
      <c r="Y228" s="122"/>
    </row>
    <row r="229" spans="1:25" ht="15.75" customHeight="1" x14ac:dyDescent="0.2">
      <c r="A229" s="181"/>
      <c r="B229" s="174"/>
      <c r="C229" s="175"/>
      <c r="D229" s="175"/>
      <c r="E229" s="175"/>
      <c r="F229" s="122"/>
      <c r="G229" s="122"/>
      <c r="H229" s="122"/>
      <c r="I229" s="122"/>
      <c r="J229" s="173"/>
      <c r="K229" s="181"/>
      <c r="L229" s="122"/>
      <c r="M229" s="122"/>
      <c r="N229" s="122"/>
      <c r="O229" s="122"/>
      <c r="P229" s="122"/>
      <c r="Q229" s="122"/>
      <c r="R229" s="122"/>
      <c r="S229" s="122"/>
      <c r="T229" s="122"/>
      <c r="U229" s="122"/>
      <c r="V229" s="122"/>
      <c r="W229" s="122"/>
      <c r="X229" s="122"/>
      <c r="Y229" s="122"/>
    </row>
    <row r="230" spans="1:25" ht="15.75" customHeight="1" x14ac:dyDescent="0.2">
      <c r="A230" s="181"/>
      <c r="B230" s="174"/>
      <c r="C230" s="175"/>
      <c r="D230" s="175"/>
      <c r="E230" s="175"/>
      <c r="F230" s="122"/>
      <c r="G230" s="122"/>
      <c r="H230" s="122"/>
      <c r="I230" s="122"/>
      <c r="J230" s="173"/>
      <c r="K230" s="181"/>
      <c r="L230" s="122"/>
      <c r="M230" s="122"/>
      <c r="N230" s="122"/>
      <c r="O230" s="122"/>
      <c r="P230" s="122"/>
      <c r="Q230" s="122"/>
      <c r="R230" s="122"/>
      <c r="S230" s="122"/>
      <c r="T230" s="122"/>
      <c r="U230" s="122"/>
      <c r="V230" s="122"/>
      <c r="W230" s="122"/>
      <c r="X230" s="122"/>
      <c r="Y230" s="122"/>
    </row>
    <row r="231" spans="1:25" ht="15.75" customHeight="1" x14ac:dyDescent="0.2">
      <c r="A231" s="181"/>
      <c r="B231" s="174"/>
      <c r="C231" s="175"/>
      <c r="D231" s="175"/>
      <c r="E231" s="175"/>
      <c r="F231" s="122"/>
      <c r="G231" s="122"/>
      <c r="H231" s="122"/>
      <c r="I231" s="122"/>
      <c r="J231" s="173"/>
      <c r="K231" s="181"/>
      <c r="L231" s="122"/>
      <c r="M231" s="122"/>
      <c r="N231" s="122"/>
      <c r="O231" s="122"/>
      <c r="P231" s="122"/>
      <c r="Q231" s="122"/>
      <c r="R231" s="122"/>
      <c r="S231" s="122"/>
      <c r="T231" s="122"/>
      <c r="U231" s="122"/>
      <c r="V231" s="122"/>
      <c r="W231" s="122"/>
      <c r="X231" s="122"/>
      <c r="Y231" s="122"/>
    </row>
    <row r="232" spans="1:25" ht="15.75" customHeight="1" x14ac:dyDescent="0.2">
      <c r="A232" s="181"/>
      <c r="B232" s="174"/>
      <c r="C232" s="175"/>
      <c r="D232" s="175"/>
      <c r="E232" s="175"/>
      <c r="F232" s="122"/>
      <c r="G232" s="122"/>
      <c r="H232" s="122"/>
      <c r="I232" s="122"/>
      <c r="J232" s="173"/>
      <c r="K232" s="181"/>
      <c r="L232" s="122"/>
      <c r="M232" s="122"/>
      <c r="N232" s="122"/>
      <c r="O232" s="122"/>
      <c r="P232" s="122"/>
      <c r="Q232" s="122"/>
      <c r="R232" s="122"/>
      <c r="S232" s="122"/>
      <c r="T232" s="122"/>
      <c r="U232" s="122"/>
      <c r="V232" s="122"/>
      <c r="W232" s="122"/>
      <c r="X232" s="122"/>
      <c r="Y232" s="122"/>
    </row>
    <row r="233" spans="1:25" ht="15.75" customHeight="1" x14ac:dyDescent="0.2">
      <c r="A233" s="181"/>
      <c r="B233" s="174"/>
      <c r="C233" s="175"/>
      <c r="D233" s="175"/>
      <c r="E233" s="175"/>
      <c r="F233" s="122"/>
      <c r="G233" s="122"/>
      <c r="H233" s="122"/>
      <c r="I233" s="122"/>
      <c r="J233" s="173"/>
      <c r="K233" s="181"/>
      <c r="L233" s="122"/>
      <c r="M233" s="122"/>
      <c r="N233" s="122"/>
      <c r="O233" s="122"/>
      <c r="P233" s="122"/>
      <c r="Q233" s="122"/>
      <c r="R233" s="122"/>
      <c r="S233" s="122"/>
      <c r="T233" s="122"/>
      <c r="U233" s="122"/>
      <c r="V233" s="122"/>
      <c r="W233" s="122"/>
      <c r="X233" s="122"/>
      <c r="Y233" s="122"/>
    </row>
    <row r="234" spans="1:25" ht="15.75" customHeight="1" x14ac:dyDescent="0.2">
      <c r="A234" s="181"/>
      <c r="B234" s="174"/>
      <c r="C234" s="175"/>
      <c r="D234" s="175"/>
      <c r="E234" s="175"/>
      <c r="F234" s="122"/>
      <c r="G234" s="122"/>
      <c r="H234" s="122"/>
      <c r="I234" s="122"/>
      <c r="J234" s="173"/>
      <c r="K234" s="181"/>
      <c r="L234" s="122"/>
      <c r="M234" s="122"/>
      <c r="N234" s="122"/>
      <c r="O234" s="122"/>
      <c r="P234" s="122"/>
      <c r="Q234" s="122"/>
      <c r="R234" s="122"/>
      <c r="S234" s="122"/>
      <c r="T234" s="122"/>
      <c r="U234" s="122"/>
      <c r="V234" s="122"/>
      <c r="W234" s="122"/>
      <c r="X234" s="122"/>
      <c r="Y234" s="122"/>
    </row>
    <row r="235" spans="1:25" ht="15.75" customHeight="1" x14ac:dyDescent="0.2">
      <c r="A235" s="181"/>
      <c r="B235" s="174"/>
      <c r="C235" s="175"/>
      <c r="D235" s="175"/>
      <c r="E235" s="175"/>
      <c r="F235" s="122"/>
      <c r="G235" s="122"/>
      <c r="H235" s="122"/>
      <c r="I235" s="122"/>
      <c r="J235" s="173"/>
      <c r="K235" s="181"/>
      <c r="L235" s="122"/>
      <c r="M235" s="122"/>
      <c r="N235" s="122"/>
      <c r="O235" s="122"/>
      <c r="P235" s="122"/>
      <c r="Q235" s="122"/>
      <c r="R235" s="122"/>
      <c r="S235" s="122"/>
      <c r="T235" s="122"/>
      <c r="U235" s="122"/>
      <c r="V235" s="122"/>
      <c r="W235" s="122"/>
      <c r="X235" s="122"/>
      <c r="Y235" s="122"/>
    </row>
    <row r="236" spans="1:25" ht="15.75" customHeight="1" x14ac:dyDescent="0.2">
      <c r="A236" s="181"/>
      <c r="B236" s="174"/>
      <c r="C236" s="175"/>
      <c r="D236" s="175"/>
      <c r="E236" s="175"/>
      <c r="F236" s="122"/>
      <c r="G236" s="122"/>
      <c r="H236" s="122"/>
      <c r="I236" s="122"/>
      <c r="J236" s="173"/>
      <c r="K236" s="181"/>
      <c r="L236" s="122"/>
      <c r="M236" s="122"/>
      <c r="N236" s="122"/>
      <c r="O236" s="122"/>
      <c r="P236" s="122"/>
      <c r="Q236" s="122"/>
      <c r="R236" s="122"/>
      <c r="S236" s="122"/>
      <c r="T236" s="122"/>
      <c r="U236" s="122"/>
      <c r="V236" s="122"/>
      <c r="W236" s="122"/>
      <c r="X236" s="122"/>
      <c r="Y236" s="122"/>
    </row>
    <row r="237" spans="1:25" ht="15.75" customHeight="1" x14ac:dyDescent="0.2">
      <c r="A237" s="181"/>
      <c r="B237" s="174"/>
      <c r="C237" s="175"/>
      <c r="D237" s="175"/>
      <c r="E237" s="175"/>
      <c r="F237" s="122"/>
      <c r="G237" s="122"/>
      <c r="H237" s="122"/>
      <c r="I237" s="122"/>
      <c r="J237" s="173"/>
      <c r="K237" s="181"/>
      <c r="L237" s="122"/>
      <c r="M237" s="122"/>
      <c r="N237" s="122"/>
      <c r="O237" s="122"/>
      <c r="P237" s="122"/>
      <c r="Q237" s="122"/>
      <c r="R237" s="122"/>
      <c r="S237" s="122"/>
      <c r="T237" s="122"/>
      <c r="U237" s="122"/>
      <c r="V237" s="122"/>
      <c r="W237" s="122"/>
      <c r="X237" s="122"/>
      <c r="Y237" s="122"/>
    </row>
    <row r="238" spans="1:25" ht="15.75" customHeight="1" x14ac:dyDescent="0.2">
      <c r="A238" s="181"/>
      <c r="B238" s="174"/>
      <c r="C238" s="175"/>
      <c r="D238" s="175"/>
      <c r="E238" s="175"/>
      <c r="F238" s="122"/>
      <c r="G238" s="122"/>
      <c r="H238" s="122"/>
      <c r="I238" s="122"/>
      <c r="J238" s="173"/>
      <c r="K238" s="181"/>
      <c r="L238" s="122"/>
      <c r="M238" s="122"/>
      <c r="N238" s="122"/>
      <c r="O238" s="122"/>
      <c r="P238" s="122"/>
      <c r="Q238" s="122"/>
      <c r="R238" s="122"/>
      <c r="S238" s="122"/>
      <c r="T238" s="122"/>
      <c r="U238" s="122"/>
      <c r="V238" s="122"/>
      <c r="W238" s="122"/>
      <c r="X238" s="122"/>
      <c r="Y238" s="122"/>
    </row>
    <row r="239" spans="1:25" ht="15.75" customHeight="1" x14ac:dyDescent="0.2">
      <c r="A239" s="181"/>
      <c r="B239" s="174"/>
      <c r="C239" s="175"/>
      <c r="D239" s="175"/>
      <c r="E239" s="175"/>
      <c r="F239" s="122"/>
      <c r="G239" s="122"/>
      <c r="H239" s="122"/>
      <c r="I239" s="122"/>
      <c r="J239" s="173"/>
      <c r="K239" s="181"/>
      <c r="L239" s="122"/>
      <c r="M239" s="122"/>
      <c r="N239" s="122"/>
      <c r="O239" s="122"/>
      <c r="P239" s="122"/>
      <c r="Q239" s="122"/>
      <c r="R239" s="122"/>
      <c r="S239" s="122"/>
      <c r="T239" s="122"/>
      <c r="U239" s="122"/>
      <c r="V239" s="122"/>
      <c r="W239" s="122"/>
      <c r="X239" s="122"/>
      <c r="Y239" s="122"/>
    </row>
    <row r="240" spans="1:25" ht="15.75" customHeight="1" x14ac:dyDescent="0.2">
      <c r="A240" s="181"/>
      <c r="B240" s="174"/>
      <c r="C240" s="175"/>
      <c r="D240" s="175"/>
      <c r="E240" s="175"/>
      <c r="F240" s="122"/>
      <c r="G240" s="122"/>
      <c r="H240" s="122"/>
      <c r="I240" s="122"/>
      <c r="J240" s="173"/>
      <c r="K240" s="181"/>
      <c r="L240" s="122"/>
      <c r="M240" s="122"/>
      <c r="N240" s="122"/>
      <c r="O240" s="122"/>
      <c r="P240" s="122"/>
      <c r="Q240" s="122"/>
      <c r="R240" s="122"/>
      <c r="S240" s="122"/>
      <c r="T240" s="122"/>
      <c r="U240" s="122"/>
      <c r="V240" s="122"/>
      <c r="W240" s="122"/>
      <c r="X240" s="122"/>
      <c r="Y240" s="122"/>
    </row>
    <row r="241" spans="1:25" ht="15.75" customHeight="1" x14ac:dyDescent="0.2">
      <c r="A241" s="181"/>
      <c r="B241" s="174"/>
      <c r="C241" s="175"/>
      <c r="D241" s="175"/>
      <c r="E241" s="175"/>
      <c r="F241" s="122"/>
      <c r="G241" s="122"/>
      <c r="H241" s="122"/>
      <c r="I241" s="122"/>
      <c r="J241" s="173"/>
      <c r="K241" s="181"/>
      <c r="L241" s="122"/>
      <c r="M241" s="122"/>
      <c r="N241" s="122"/>
      <c r="O241" s="122"/>
      <c r="P241" s="122"/>
      <c r="Q241" s="122"/>
      <c r="R241" s="122"/>
      <c r="S241" s="122"/>
      <c r="T241" s="122"/>
      <c r="U241" s="122"/>
      <c r="V241" s="122"/>
      <c r="W241" s="122"/>
      <c r="X241" s="122"/>
      <c r="Y241" s="122"/>
    </row>
    <row r="242" spans="1:25" ht="15.75" customHeight="1" x14ac:dyDescent="0.2">
      <c r="A242" s="181"/>
      <c r="B242" s="174"/>
      <c r="C242" s="175"/>
      <c r="D242" s="175"/>
      <c r="E242" s="175"/>
      <c r="F242" s="122"/>
      <c r="G242" s="122"/>
      <c r="H242" s="122"/>
      <c r="I242" s="122"/>
      <c r="J242" s="173"/>
      <c r="K242" s="181"/>
      <c r="L242" s="122"/>
      <c r="M242" s="122"/>
      <c r="N242" s="122"/>
      <c r="O242" s="122"/>
      <c r="P242" s="122"/>
      <c r="Q242" s="122"/>
      <c r="R242" s="122"/>
      <c r="S242" s="122"/>
      <c r="T242" s="122"/>
      <c r="U242" s="122"/>
      <c r="V242" s="122"/>
      <c r="W242" s="122"/>
      <c r="X242" s="122"/>
      <c r="Y242" s="122"/>
    </row>
    <row r="243" spans="1:25" ht="15.75" customHeight="1" x14ac:dyDescent="0.2">
      <c r="A243" s="181"/>
      <c r="B243" s="174"/>
      <c r="C243" s="175"/>
      <c r="D243" s="175"/>
      <c r="E243" s="175"/>
      <c r="F243" s="122"/>
      <c r="G243" s="122"/>
      <c r="H243" s="122"/>
      <c r="I243" s="122"/>
      <c r="J243" s="173"/>
      <c r="K243" s="181"/>
      <c r="L243" s="122"/>
      <c r="M243" s="122"/>
      <c r="N243" s="122"/>
      <c r="O243" s="122"/>
      <c r="P243" s="122"/>
      <c r="Q243" s="122"/>
      <c r="R243" s="122"/>
      <c r="S243" s="122"/>
      <c r="T243" s="122"/>
      <c r="U243" s="122"/>
      <c r="V243" s="122"/>
      <c r="W243" s="122"/>
      <c r="X243" s="122"/>
      <c r="Y243" s="122"/>
    </row>
    <row r="244" spans="1:25" ht="15.75" customHeight="1" x14ac:dyDescent="0.2">
      <c r="A244" s="181"/>
      <c r="B244" s="174"/>
      <c r="C244" s="175"/>
      <c r="D244" s="175"/>
      <c r="E244" s="175"/>
      <c r="F244" s="122"/>
      <c r="G244" s="122"/>
      <c r="H244" s="122"/>
      <c r="I244" s="122"/>
      <c r="J244" s="173"/>
      <c r="K244" s="181"/>
      <c r="L244" s="122"/>
      <c r="M244" s="122"/>
      <c r="N244" s="122"/>
      <c r="O244" s="122"/>
      <c r="P244" s="122"/>
      <c r="Q244" s="122"/>
      <c r="R244" s="122"/>
      <c r="S244" s="122"/>
      <c r="T244" s="122"/>
      <c r="U244" s="122"/>
      <c r="V244" s="122"/>
      <c r="W244" s="122"/>
      <c r="X244" s="122"/>
      <c r="Y244" s="122"/>
    </row>
    <row r="245" spans="1:25" ht="15.75" customHeight="1" x14ac:dyDescent="0.2">
      <c r="A245" s="181"/>
      <c r="B245" s="174"/>
      <c r="C245" s="175"/>
      <c r="D245" s="175"/>
      <c r="E245" s="175"/>
      <c r="F245" s="122"/>
      <c r="G245" s="122"/>
      <c r="H245" s="122"/>
      <c r="I245" s="122"/>
      <c r="J245" s="173"/>
      <c r="K245" s="181"/>
      <c r="L245" s="122"/>
      <c r="M245" s="122"/>
      <c r="N245" s="122"/>
      <c r="O245" s="122"/>
      <c r="P245" s="122"/>
      <c r="Q245" s="122"/>
      <c r="R245" s="122"/>
      <c r="S245" s="122"/>
      <c r="T245" s="122"/>
      <c r="U245" s="122"/>
      <c r="V245" s="122"/>
      <c r="W245" s="122"/>
      <c r="X245" s="122"/>
      <c r="Y245" s="122"/>
    </row>
    <row r="246" spans="1:25" ht="15.75" customHeight="1" x14ac:dyDescent="0.2">
      <c r="A246" s="181"/>
      <c r="B246" s="174"/>
      <c r="C246" s="175"/>
      <c r="D246" s="175"/>
      <c r="E246" s="175"/>
      <c r="F246" s="122"/>
      <c r="G246" s="122"/>
      <c r="H246" s="122"/>
      <c r="I246" s="122"/>
      <c r="J246" s="173"/>
      <c r="K246" s="181"/>
      <c r="L246" s="122"/>
      <c r="M246" s="122"/>
      <c r="N246" s="122"/>
      <c r="O246" s="122"/>
      <c r="P246" s="122"/>
      <c r="Q246" s="122"/>
      <c r="R246" s="122"/>
      <c r="S246" s="122"/>
      <c r="T246" s="122"/>
      <c r="U246" s="122"/>
      <c r="V246" s="122"/>
      <c r="W246" s="122"/>
      <c r="X246" s="122"/>
      <c r="Y246" s="122"/>
    </row>
    <row r="247" spans="1:25" ht="15.75" customHeight="1" x14ac:dyDescent="0.2">
      <c r="A247" s="181"/>
      <c r="B247" s="174"/>
      <c r="C247" s="175"/>
      <c r="D247" s="175"/>
      <c r="E247" s="175"/>
      <c r="F247" s="122"/>
      <c r="G247" s="122"/>
      <c r="H247" s="122"/>
      <c r="I247" s="122"/>
      <c r="J247" s="173"/>
      <c r="K247" s="181"/>
      <c r="L247" s="122"/>
      <c r="M247" s="122"/>
      <c r="N247" s="122"/>
      <c r="O247" s="122"/>
      <c r="P247" s="122"/>
      <c r="Q247" s="122"/>
      <c r="R247" s="122"/>
      <c r="S247" s="122"/>
      <c r="T247" s="122"/>
      <c r="U247" s="122"/>
      <c r="V247" s="122"/>
      <c r="W247" s="122"/>
      <c r="X247" s="122"/>
      <c r="Y247" s="122"/>
    </row>
    <row r="248" spans="1:25" ht="15.75" customHeight="1" x14ac:dyDescent="0.2">
      <c r="A248" s="181"/>
      <c r="B248" s="174"/>
      <c r="C248" s="175"/>
      <c r="D248" s="175"/>
      <c r="E248" s="175"/>
      <c r="F248" s="122"/>
      <c r="G248" s="122"/>
      <c r="H248" s="122"/>
      <c r="I248" s="122"/>
      <c r="J248" s="173"/>
      <c r="K248" s="181"/>
      <c r="L248" s="122"/>
      <c r="M248" s="122"/>
      <c r="N248" s="122"/>
      <c r="O248" s="122"/>
      <c r="P248" s="122"/>
      <c r="Q248" s="122"/>
      <c r="R248" s="122"/>
      <c r="S248" s="122"/>
      <c r="T248" s="122"/>
      <c r="U248" s="122"/>
      <c r="V248" s="122"/>
      <c r="W248" s="122"/>
      <c r="X248" s="122"/>
      <c r="Y248" s="122"/>
    </row>
    <row r="249" spans="1:25" ht="15.75" customHeight="1" x14ac:dyDescent="0.2">
      <c r="A249" s="181"/>
      <c r="B249" s="174"/>
      <c r="C249" s="175"/>
      <c r="D249" s="175"/>
      <c r="E249" s="175"/>
      <c r="F249" s="122"/>
      <c r="G249" s="122"/>
      <c r="H249" s="122"/>
      <c r="I249" s="122"/>
      <c r="J249" s="173"/>
      <c r="K249" s="181"/>
      <c r="L249" s="122"/>
      <c r="M249" s="122"/>
      <c r="N249" s="122"/>
      <c r="O249" s="122"/>
      <c r="P249" s="122"/>
      <c r="Q249" s="122"/>
      <c r="R249" s="122"/>
      <c r="S249" s="122"/>
      <c r="T249" s="122"/>
      <c r="U249" s="122"/>
      <c r="V249" s="122"/>
      <c r="W249" s="122"/>
      <c r="X249" s="122"/>
      <c r="Y249" s="122"/>
    </row>
    <row r="250" spans="1:25" ht="15.75" customHeight="1" x14ac:dyDescent="0.2">
      <c r="A250" s="181"/>
      <c r="B250" s="174"/>
      <c r="C250" s="175"/>
      <c r="D250" s="175"/>
      <c r="E250" s="175"/>
      <c r="F250" s="122"/>
      <c r="G250" s="122"/>
      <c r="H250" s="122"/>
      <c r="I250" s="122"/>
      <c r="J250" s="173"/>
      <c r="K250" s="181"/>
      <c r="L250" s="122"/>
      <c r="M250" s="122"/>
      <c r="N250" s="122"/>
      <c r="O250" s="122"/>
      <c r="P250" s="122"/>
      <c r="Q250" s="122"/>
      <c r="R250" s="122"/>
      <c r="S250" s="122"/>
      <c r="T250" s="122"/>
      <c r="U250" s="122"/>
      <c r="V250" s="122"/>
      <c r="W250" s="122"/>
      <c r="X250" s="122"/>
      <c r="Y250" s="122"/>
    </row>
    <row r="251" spans="1:25" ht="15.75" customHeight="1" x14ac:dyDescent="0.2">
      <c r="A251" s="181"/>
      <c r="B251" s="174"/>
      <c r="C251" s="175"/>
      <c r="D251" s="175"/>
      <c r="E251" s="175"/>
      <c r="F251" s="122"/>
      <c r="G251" s="122"/>
      <c r="H251" s="122"/>
      <c r="I251" s="122"/>
      <c r="J251" s="173"/>
      <c r="K251" s="181"/>
      <c r="L251" s="122"/>
      <c r="M251" s="122"/>
      <c r="N251" s="122"/>
      <c r="O251" s="122"/>
      <c r="P251" s="122"/>
      <c r="Q251" s="122"/>
      <c r="R251" s="122"/>
      <c r="S251" s="122"/>
      <c r="T251" s="122"/>
      <c r="U251" s="122"/>
      <c r="V251" s="122"/>
      <c r="W251" s="122"/>
      <c r="X251" s="122"/>
      <c r="Y251" s="122"/>
    </row>
    <row r="252" spans="1:25" ht="15.75" customHeight="1" x14ac:dyDescent="0.2">
      <c r="A252" s="181"/>
      <c r="B252" s="174"/>
      <c r="C252" s="175"/>
      <c r="D252" s="175"/>
      <c r="E252" s="175"/>
      <c r="F252" s="122"/>
      <c r="G252" s="122"/>
      <c r="H252" s="122"/>
      <c r="I252" s="122"/>
      <c r="J252" s="173"/>
      <c r="K252" s="181"/>
      <c r="L252" s="122"/>
      <c r="M252" s="122"/>
      <c r="N252" s="122"/>
      <c r="O252" s="122"/>
      <c r="P252" s="122"/>
      <c r="Q252" s="122"/>
      <c r="R252" s="122"/>
      <c r="S252" s="122"/>
      <c r="T252" s="122"/>
      <c r="U252" s="122"/>
      <c r="V252" s="122"/>
      <c r="W252" s="122"/>
      <c r="X252" s="122"/>
      <c r="Y252" s="122"/>
    </row>
    <row r="253" spans="1:25" ht="15.75" customHeight="1" x14ac:dyDescent="0.2">
      <c r="A253" s="181"/>
      <c r="B253" s="174"/>
      <c r="C253" s="175"/>
      <c r="D253" s="175"/>
      <c r="E253" s="175"/>
      <c r="F253" s="122"/>
      <c r="G253" s="122"/>
      <c r="H253" s="122"/>
      <c r="I253" s="122"/>
      <c r="J253" s="173"/>
      <c r="K253" s="181"/>
      <c r="L253" s="122"/>
      <c r="M253" s="122"/>
      <c r="N253" s="122"/>
      <c r="O253" s="122"/>
      <c r="P253" s="122"/>
      <c r="Q253" s="122"/>
      <c r="R253" s="122"/>
      <c r="S253" s="122"/>
      <c r="T253" s="122"/>
      <c r="U253" s="122"/>
      <c r="V253" s="122"/>
      <c r="W253" s="122"/>
      <c r="X253" s="122"/>
      <c r="Y253" s="122"/>
    </row>
    <row r="254" spans="1:25" ht="15.75" customHeight="1" x14ac:dyDescent="0.2">
      <c r="A254" s="181"/>
      <c r="B254" s="174"/>
      <c r="C254" s="175"/>
      <c r="D254" s="175"/>
      <c r="E254" s="175"/>
      <c r="F254" s="122"/>
      <c r="G254" s="122"/>
      <c r="H254" s="122"/>
      <c r="I254" s="122"/>
      <c r="J254" s="173"/>
      <c r="K254" s="181"/>
      <c r="L254" s="122"/>
      <c r="M254" s="122"/>
      <c r="N254" s="122"/>
      <c r="O254" s="122"/>
      <c r="P254" s="122"/>
      <c r="Q254" s="122"/>
      <c r="R254" s="122"/>
      <c r="S254" s="122"/>
      <c r="T254" s="122"/>
      <c r="U254" s="122"/>
      <c r="V254" s="122"/>
      <c r="W254" s="122"/>
      <c r="X254" s="122"/>
      <c r="Y254" s="122"/>
    </row>
    <row r="255" spans="1:25" ht="15.75" customHeight="1" x14ac:dyDescent="0.2">
      <c r="A255" s="181"/>
      <c r="B255" s="174"/>
      <c r="C255" s="175"/>
      <c r="D255" s="175"/>
      <c r="E255" s="175"/>
      <c r="F255" s="122"/>
      <c r="G255" s="122"/>
      <c r="H255" s="122"/>
      <c r="I255" s="122"/>
      <c r="J255" s="173"/>
      <c r="K255" s="181"/>
      <c r="L255" s="122"/>
      <c r="M255" s="122"/>
      <c r="N255" s="122"/>
      <c r="O255" s="122"/>
      <c r="P255" s="122"/>
      <c r="Q255" s="122"/>
      <c r="R255" s="122"/>
      <c r="S255" s="122"/>
      <c r="T255" s="122"/>
      <c r="U255" s="122"/>
      <c r="V255" s="122"/>
      <c r="W255" s="122"/>
      <c r="X255" s="122"/>
      <c r="Y255" s="122"/>
    </row>
    <row r="256" spans="1:25" ht="15.75" customHeight="1" x14ac:dyDescent="0.2">
      <c r="A256" s="181"/>
      <c r="B256" s="174"/>
      <c r="C256" s="175"/>
      <c r="D256" s="175"/>
      <c r="E256" s="175"/>
      <c r="F256" s="122"/>
      <c r="G256" s="122"/>
      <c r="H256" s="122"/>
      <c r="I256" s="122"/>
      <c r="J256" s="173"/>
      <c r="K256" s="181"/>
      <c r="L256" s="122"/>
      <c r="M256" s="122"/>
      <c r="N256" s="122"/>
      <c r="O256" s="122"/>
      <c r="P256" s="122"/>
      <c r="Q256" s="122"/>
      <c r="R256" s="122"/>
      <c r="S256" s="122"/>
      <c r="T256" s="122"/>
      <c r="U256" s="122"/>
      <c r="V256" s="122"/>
      <c r="W256" s="122"/>
      <c r="X256" s="122"/>
      <c r="Y256" s="122"/>
    </row>
    <row r="257" spans="1:25" ht="15.75" customHeight="1" x14ac:dyDescent="0.2">
      <c r="A257" s="181"/>
      <c r="B257" s="174"/>
      <c r="C257" s="175"/>
      <c r="D257" s="175"/>
      <c r="E257" s="175"/>
      <c r="F257" s="122"/>
      <c r="G257" s="122"/>
      <c r="H257" s="122"/>
      <c r="I257" s="122"/>
      <c r="J257" s="173"/>
      <c r="K257" s="181"/>
      <c r="L257" s="122"/>
      <c r="M257" s="122"/>
      <c r="N257" s="122"/>
      <c r="O257" s="122"/>
      <c r="P257" s="122"/>
      <c r="Q257" s="122"/>
      <c r="R257" s="122"/>
      <c r="S257" s="122"/>
      <c r="T257" s="122"/>
      <c r="U257" s="122"/>
      <c r="V257" s="122"/>
      <c r="W257" s="122"/>
      <c r="X257" s="122"/>
      <c r="Y257" s="122"/>
    </row>
    <row r="258" spans="1:25" ht="15.75" customHeight="1" x14ac:dyDescent="0.2">
      <c r="A258" s="181"/>
      <c r="B258" s="174"/>
      <c r="C258" s="175"/>
      <c r="D258" s="175"/>
      <c r="E258" s="175"/>
      <c r="F258" s="122"/>
      <c r="G258" s="122"/>
      <c r="H258" s="122"/>
      <c r="I258" s="122"/>
      <c r="J258" s="173"/>
      <c r="K258" s="181"/>
      <c r="L258" s="122"/>
      <c r="M258" s="122"/>
      <c r="N258" s="122"/>
      <c r="O258" s="122"/>
      <c r="P258" s="122"/>
      <c r="Q258" s="122"/>
      <c r="R258" s="122"/>
      <c r="S258" s="122"/>
      <c r="T258" s="122"/>
      <c r="U258" s="122"/>
      <c r="V258" s="122"/>
      <c r="W258" s="122"/>
      <c r="X258" s="122"/>
      <c r="Y258" s="122"/>
    </row>
    <row r="259" spans="1:25" ht="15.75" customHeight="1" x14ac:dyDescent="0.2">
      <c r="A259" s="181"/>
      <c r="B259" s="174"/>
      <c r="C259" s="175"/>
      <c r="D259" s="175"/>
      <c r="E259" s="175"/>
      <c r="F259" s="122"/>
      <c r="G259" s="122"/>
      <c r="H259" s="122"/>
      <c r="I259" s="122"/>
      <c r="J259" s="173"/>
      <c r="K259" s="181"/>
      <c r="L259" s="122"/>
      <c r="M259" s="122"/>
      <c r="N259" s="122"/>
      <c r="O259" s="122"/>
      <c r="P259" s="122"/>
      <c r="Q259" s="122"/>
      <c r="R259" s="122"/>
      <c r="S259" s="122"/>
      <c r="T259" s="122"/>
      <c r="U259" s="122"/>
      <c r="V259" s="122"/>
      <c r="W259" s="122"/>
      <c r="X259" s="122"/>
      <c r="Y259" s="122"/>
    </row>
    <row r="260" spans="1:25" ht="15.75" customHeight="1" x14ac:dyDescent="0.2">
      <c r="A260" s="181"/>
      <c r="B260" s="174"/>
      <c r="C260" s="175"/>
      <c r="D260" s="175"/>
      <c r="E260" s="175"/>
      <c r="F260" s="122"/>
      <c r="G260" s="122"/>
      <c r="H260" s="122"/>
      <c r="I260" s="122"/>
      <c r="J260" s="173"/>
      <c r="K260" s="181"/>
      <c r="L260" s="122"/>
      <c r="M260" s="122"/>
      <c r="N260" s="122"/>
      <c r="O260" s="122"/>
      <c r="P260" s="122"/>
      <c r="Q260" s="122"/>
      <c r="R260" s="122"/>
      <c r="S260" s="122"/>
      <c r="T260" s="122"/>
      <c r="U260" s="122"/>
      <c r="V260" s="122"/>
      <c r="W260" s="122"/>
      <c r="X260" s="122"/>
      <c r="Y260" s="122"/>
    </row>
    <row r="261" spans="1:25" ht="15.75" customHeight="1" x14ac:dyDescent="0.2">
      <c r="A261" s="181"/>
      <c r="B261" s="174"/>
      <c r="C261" s="175"/>
      <c r="D261" s="175"/>
      <c r="E261" s="175"/>
      <c r="F261" s="122"/>
      <c r="G261" s="122"/>
      <c r="H261" s="122"/>
      <c r="I261" s="122"/>
      <c r="J261" s="173"/>
      <c r="K261" s="181"/>
      <c r="L261" s="122"/>
      <c r="M261" s="122"/>
      <c r="N261" s="122"/>
      <c r="O261" s="122"/>
      <c r="P261" s="122"/>
      <c r="Q261" s="122"/>
      <c r="R261" s="122"/>
      <c r="S261" s="122"/>
      <c r="T261" s="122"/>
      <c r="U261" s="122"/>
      <c r="V261" s="122"/>
      <c r="W261" s="122"/>
      <c r="X261" s="122"/>
      <c r="Y261" s="122"/>
    </row>
    <row r="262" spans="1:25" ht="15.75" customHeight="1" x14ac:dyDescent="0.2">
      <c r="A262" s="181"/>
      <c r="B262" s="174"/>
      <c r="C262" s="175"/>
      <c r="D262" s="175"/>
      <c r="E262" s="175"/>
      <c r="F262" s="122"/>
      <c r="G262" s="122"/>
      <c r="H262" s="122"/>
      <c r="I262" s="122"/>
      <c r="J262" s="173"/>
      <c r="K262" s="181"/>
      <c r="L262" s="122"/>
      <c r="M262" s="122"/>
      <c r="N262" s="122"/>
      <c r="O262" s="122"/>
      <c r="P262" s="122"/>
      <c r="Q262" s="122"/>
      <c r="R262" s="122"/>
      <c r="S262" s="122"/>
      <c r="T262" s="122"/>
      <c r="U262" s="122"/>
      <c r="V262" s="122"/>
      <c r="W262" s="122"/>
      <c r="X262" s="122"/>
      <c r="Y262" s="122"/>
    </row>
    <row r="263" spans="1:25" ht="15.75" customHeight="1" x14ac:dyDescent="0.2">
      <c r="A263" s="181"/>
      <c r="B263" s="174"/>
      <c r="C263" s="175"/>
      <c r="D263" s="175"/>
      <c r="E263" s="175"/>
      <c r="F263" s="122"/>
      <c r="G263" s="122"/>
      <c r="H263" s="122"/>
      <c r="I263" s="122"/>
      <c r="J263" s="173"/>
      <c r="K263" s="181"/>
      <c r="L263" s="122"/>
      <c r="M263" s="122"/>
      <c r="N263" s="122"/>
      <c r="O263" s="122"/>
      <c r="P263" s="122"/>
      <c r="Q263" s="122"/>
      <c r="R263" s="122"/>
      <c r="S263" s="122"/>
      <c r="T263" s="122"/>
      <c r="U263" s="122"/>
      <c r="V263" s="122"/>
      <c r="W263" s="122"/>
      <c r="X263" s="122"/>
      <c r="Y263" s="122"/>
    </row>
    <row r="264" spans="1:25" ht="15.75" customHeight="1" x14ac:dyDescent="0.2">
      <c r="A264" s="181"/>
      <c r="B264" s="174"/>
      <c r="C264" s="175"/>
      <c r="D264" s="175"/>
      <c r="E264" s="175"/>
      <c r="F264" s="122"/>
      <c r="G264" s="122"/>
      <c r="H264" s="122"/>
      <c r="I264" s="122"/>
      <c r="J264" s="173"/>
      <c r="K264" s="181"/>
      <c r="L264" s="122"/>
      <c r="M264" s="122"/>
      <c r="N264" s="122"/>
      <c r="O264" s="122"/>
      <c r="P264" s="122"/>
      <c r="Q264" s="122"/>
      <c r="R264" s="122"/>
      <c r="S264" s="122"/>
      <c r="T264" s="122"/>
      <c r="U264" s="122"/>
      <c r="V264" s="122"/>
      <c r="W264" s="122"/>
      <c r="X264" s="122"/>
      <c r="Y264" s="122"/>
    </row>
    <row r="265" spans="1:25" ht="15.75" customHeight="1" x14ac:dyDescent="0.2">
      <c r="A265" s="181"/>
      <c r="B265" s="174"/>
      <c r="C265" s="175"/>
      <c r="D265" s="175"/>
      <c r="E265" s="175"/>
      <c r="F265" s="122"/>
      <c r="G265" s="122"/>
      <c r="H265" s="122"/>
      <c r="I265" s="122"/>
      <c r="J265" s="173"/>
      <c r="K265" s="181"/>
      <c r="L265" s="122"/>
      <c r="M265" s="122"/>
      <c r="N265" s="122"/>
      <c r="O265" s="122"/>
      <c r="P265" s="122"/>
      <c r="Q265" s="122"/>
      <c r="R265" s="122"/>
      <c r="S265" s="122"/>
      <c r="T265" s="122"/>
      <c r="U265" s="122"/>
      <c r="V265" s="122"/>
      <c r="W265" s="122"/>
      <c r="X265" s="122"/>
      <c r="Y265" s="122"/>
    </row>
    <row r="266" spans="1:25" ht="15.75" customHeight="1" x14ac:dyDescent="0.2">
      <c r="A266" s="181"/>
      <c r="B266" s="174"/>
      <c r="C266" s="175"/>
      <c r="D266" s="175"/>
      <c r="E266" s="175"/>
      <c r="F266" s="122"/>
      <c r="G266" s="122"/>
      <c r="H266" s="122"/>
      <c r="I266" s="122"/>
      <c r="J266" s="173"/>
      <c r="K266" s="181"/>
      <c r="L266" s="122"/>
      <c r="M266" s="122"/>
      <c r="N266" s="122"/>
      <c r="O266" s="122"/>
      <c r="P266" s="122"/>
      <c r="Q266" s="122"/>
      <c r="R266" s="122"/>
      <c r="S266" s="122"/>
      <c r="T266" s="122"/>
      <c r="U266" s="122"/>
      <c r="V266" s="122"/>
      <c r="W266" s="122"/>
      <c r="X266" s="122"/>
      <c r="Y266" s="122"/>
    </row>
    <row r="267" spans="1:25" ht="15.75" customHeight="1" x14ac:dyDescent="0.2">
      <c r="A267" s="181"/>
      <c r="B267" s="174"/>
      <c r="C267" s="175"/>
      <c r="D267" s="175"/>
      <c r="E267" s="175"/>
      <c r="F267" s="122"/>
      <c r="G267" s="122"/>
      <c r="H267" s="122"/>
      <c r="I267" s="122"/>
      <c r="J267" s="173"/>
      <c r="K267" s="181"/>
      <c r="L267" s="122"/>
      <c r="M267" s="122"/>
      <c r="N267" s="122"/>
      <c r="O267" s="122"/>
      <c r="P267" s="122"/>
      <c r="Q267" s="122"/>
      <c r="R267" s="122"/>
      <c r="S267" s="122"/>
      <c r="T267" s="122"/>
      <c r="U267" s="122"/>
      <c r="V267" s="122"/>
      <c r="W267" s="122"/>
      <c r="X267" s="122"/>
      <c r="Y267" s="122"/>
    </row>
    <row r="268" spans="1:25" ht="15.75" customHeight="1" x14ac:dyDescent="0.2">
      <c r="A268" s="181"/>
      <c r="B268" s="174"/>
      <c r="C268" s="175"/>
      <c r="D268" s="175"/>
      <c r="E268" s="175"/>
      <c r="F268" s="122"/>
      <c r="G268" s="122"/>
      <c r="H268" s="122"/>
      <c r="I268" s="122"/>
      <c r="J268" s="173"/>
      <c r="K268" s="181"/>
      <c r="L268" s="122"/>
      <c r="M268" s="122"/>
      <c r="N268" s="122"/>
      <c r="O268" s="122"/>
      <c r="P268" s="122"/>
      <c r="Q268" s="122"/>
      <c r="R268" s="122"/>
      <c r="S268" s="122"/>
      <c r="T268" s="122"/>
      <c r="U268" s="122"/>
      <c r="V268" s="122"/>
      <c r="W268" s="122"/>
      <c r="X268" s="122"/>
      <c r="Y268" s="122"/>
    </row>
    <row r="269" spans="1:25" ht="15.75" customHeight="1" x14ac:dyDescent="0.2">
      <c r="A269" s="181"/>
      <c r="B269" s="174"/>
      <c r="C269" s="175"/>
      <c r="D269" s="175"/>
      <c r="E269" s="175"/>
      <c r="F269" s="122"/>
      <c r="G269" s="122"/>
      <c r="H269" s="122"/>
      <c r="I269" s="122"/>
      <c r="J269" s="173"/>
      <c r="K269" s="181"/>
      <c r="L269" s="122"/>
      <c r="M269" s="122"/>
      <c r="N269" s="122"/>
      <c r="O269" s="122"/>
      <c r="P269" s="122"/>
      <c r="Q269" s="122"/>
      <c r="R269" s="122"/>
      <c r="S269" s="122"/>
      <c r="T269" s="122"/>
      <c r="U269" s="122"/>
      <c r="V269" s="122"/>
      <c r="W269" s="122"/>
      <c r="X269" s="122"/>
      <c r="Y269" s="122"/>
    </row>
    <row r="270" spans="1:25" ht="15.75" customHeight="1" x14ac:dyDescent="0.2">
      <c r="A270" s="181"/>
      <c r="B270" s="174"/>
      <c r="C270" s="175"/>
      <c r="D270" s="175"/>
      <c r="E270" s="175"/>
      <c r="F270" s="122"/>
      <c r="G270" s="122"/>
      <c r="H270" s="122"/>
      <c r="I270" s="122"/>
      <c r="J270" s="173"/>
      <c r="K270" s="181"/>
      <c r="L270" s="122"/>
      <c r="M270" s="122"/>
      <c r="N270" s="122"/>
      <c r="O270" s="122"/>
      <c r="P270" s="122"/>
      <c r="Q270" s="122"/>
      <c r="R270" s="122"/>
      <c r="S270" s="122"/>
      <c r="T270" s="122"/>
      <c r="U270" s="122"/>
      <c r="V270" s="122"/>
      <c r="W270" s="122"/>
      <c r="X270" s="122"/>
      <c r="Y270" s="122"/>
    </row>
    <row r="271" spans="1:25" ht="15.75" customHeight="1" x14ac:dyDescent="0.2">
      <c r="A271" s="181"/>
      <c r="B271" s="174"/>
      <c r="C271" s="175"/>
      <c r="D271" s="175"/>
      <c r="E271" s="175"/>
      <c r="F271" s="122"/>
      <c r="G271" s="122"/>
      <c r="H271" s="122"/>
      <c r="I271" s="122"/>
      <c r="J271" s="173"/>
      <c r="K271" s="181"/>
      <c r="L271" s="122"/>
      <c r="M271" s="122"/>
      <c r="N271" s="122"/>
      <c r="O271" s="122"/>
      <c r="P271" s="122"/>
      <c r="Q271" s="122"/>
      <c r="R271" s="122"/>
      <c r="S271" s="122"/>
      <c r="T271" s="122"/>
      <c r="U271" s="122"/>
      <c r="V271" s="122"/>
      <c r="W271" s="122"/>
      <c r="X271" s="122"/>
      <c r="Y271" s="122"/>
    </row>
    <row r="272" spans="1:25" ht="15.75" customHeight="1" x14ac:dyDescent="0.2">
      <c r="A272" s="181"/>
      <c r="B272" s="174"/>
      <c r="C272" s="175"/>
      <c r="D272" s="175"/>
      <c r="E272" s="175"/>
      <c r="F272" s="122"/>
      <c r="G272" s="122"/>
      <c r="H272" s="122"/>
      <c r="I272" s="122"/>
      <c r="J272" s="173"/>
      <c r="K272" s="181"/>
      <c r="L272" s="122"/>
      <c r="M272" s="122"/>
      <c r="N272" s="122"/>
      <c r="O272" s="122"/>
      <c r="P272" s="122"/>
      <c r="Q272" s="122"/>
      <c r="R272" s="122"/>
      <c r="S272" s="122"/>
      <c r="T272" s="122"/>
      <c r="U272" s="122"/>
      <c r="V272" s="122"/>
      <c r="W272" s="122"/>
      <c r="X272" s="122"/>
      <c r="Y272" s="122"/>
    </row>
    <row r="273" spans="1:25" ht="15.75" customHeight="1" x14ac:dyDescent="0.2">
      <c r="A273" s="181"/>
      <c r="B273" s="174"/>
      <c r="C273" s="175"/>
      <c r="D273" s="175"/>
      <c r="E273" s="175"/>
      <c r="F273" s="122"/>
      <c r="G273" s="122"/>
      <c r="H273" s="122"/>
      <c r="I273" s="122"/>
      <c r="J273" s="173"/>
      <c r="K273" s="181"/>
      <c r="L273" s="122"/>
      <c r="M273" s="122"/>
      <c r="N273" s="122"/>
      <c r="O273" s="122"/>
      <c r="P273" s="122"/>
      <c r="Q273" s="122"/>
      <c r="R273" s="122"/>
      <c r="S273" s="122"/>
      <c r="T273" s="122"/>
      <c r="U273" s="122"/>
      <c r="V273" s="122"/>
      <c r="W273" s="122"/>
      <c r="X273" s="122"/>
      <c r="Y273" s="122"/>
    </row>
    <row r="274" spans="1:25" ht="15.75" customHeight="1" x14ac:dyDescent="0.2">
      <c r="A274" s="181"/>
      <c r="B274" s="174"/>
      <c r="C274" s="175"/>
      <c r="D274" s="175"/>
      <c r="E274" s="175"/>
      <c r="F274" s="122"/>
      <c r="G274" s="122"/>
      <c r="H274" s="122"/>
      <c r="I274" s="122"/>
      <c r="J274" s="173"/>
      <c r="K274" s="181"/>
      <c r="L274" s="122"/>
      <c r="M274" s="122"/>
      <c r="N274" s="122"/>
      <c r="O274" s="122"/>
      <c r="P274" s="122"/>
      <c r="Q274" s="122"/>
      <c r="R274" s="122"/>
      <c r="S274" s="122"/>
      <c r="T274" s="122"/>
      <c r="U274" s="122"/>
      <c r="V274" s="122"/>
      <c r="W274" s="122"/>
      <c r="X274" s="122"/>
      <c r="Y274" s="122"/>
    </row>
    <row r="275" spans="1:25" ht="15.75" customHeight="1" x14ac:dyDescent="0.2">
      <c r="A275" s="181"/>
      <c r="B275" s="174"/>
      <c r="C275" s="175"/>
      <c r="D275" s="175"/>
      <c r="E275" s="175"/>
      <c r="F275" s="122"/>
      <c r="G275" s="122"/>
      <c r="H275" s="122"/>
      <c r="I275" s="122"/>
      <c r="J275" s="173"/>
      <c r="K275" s="181"/>
      <c r="L275" s="122"/>
      <c r="M275" s="122"/>
      <c r="N275" s="122"/>
      <c r="O275" s="122"/>
      <c r="P275" s="122"/>
      <c r="Q275" s="122"/>
      <c r="R275" s="122"/>
      <c r="S275" s="122"/>
      <c r="T275" s="122"/>
      <c r="U275" s="122"/>
      <c r="V275" s="122"/>
      <c r="W275" s="122"/>
      <c r="X275" s="122"/>
      <c r="Y275" s="122"/>
    </row>
    <row r="276" spans="1:25" ht="15.75" customHeight="1" x14ac:dyDescent="0.2">
      <c r="A276" s="181"/>
      <c r="B276" s="174"/>
      <c r="C276" s="175"/>
      <c r="D276" s="175"/>
      <c r="E276" s="175"/>
      <c r="F276" s="122"/>
      <c r="G276" s="122"/>
      <c r="H276" s="122"/>
      <c r="I276" s="122"/>
      <c r="J276" s="173"/>
      <c r="K276" s="181"/>
      <c r="L276" s="122"/>
      <c r="M276" s="122"/>
      <c r="N276" s="122"/>
      <c r="O276" s="122"/>
      <c r="P276" s="122"/>
      <c r="Q276" s="122"/>
      <c r="R276" s="122"/>
      <c r="S276" s="122"/>
      <c r="T276" s="122"/>
      <c r="U276" s="122"/>
      <c r="V276" s="122"/>
      <c r="W276" s="122"/>
      <c r="X276" s="122"/>
      <c r="Y276" s="122"/>
    </row>
    <row r="277" spans="1:25" ht="15.75" customHeight="1" x14ac:dyDescent="0.2">
      <c r="A277" s="181"/>
      <c r="B277" s="174"/>
      <c r="C277" s="175"/>
      <c r="D277" s="175"/>
      <c r="E277" s="175"/>
      <c r="F277" s="122"/>
      <c r="G277" s="122"/>
      <c r="H277" s="122"/>
      <c r="I277" s="122"/>
      <c r="J277" s="173"/>
      <c r="K277" s="181"/>
      <c r="L277" s="122"/>
      <c r="M277" s="122"/>
      <c r="N277" s="122"/>
      <c r="O277" s="122"/>
      <c r="P277" s="122"/>
      <c r="Q277" s="122"/>
      <c r="R277" s="122"/>
      <c r="S277" s="122"/>
      <c r="T277" s="122"/>
      <c r="U277" s="122"/>
      <c r="V277" s="122"/>
      <c r="W277" s="122"/>
      <c r="X277" s="122"/>
      <c r="Y277" s="122"/>
    </row>
    <row r="278" spans="1:25" ht="15.75" customHeight="1" x14ac:dyDescent="0.2">
      <c r="A278" s="181"/>
      <c r="B278" s="174"/>
      <c r="C278" s="175"/>
      <c r="D278" s="175"/>
      <c r="E278" s="175"/>
      <c r="F278" s="122"/>
      <c r="G278" s="122"/>
      <c r="H278" s="122"/>
      <c r="I278" s="122"/>
      <c r="J278" s="173"/>
      <c r="K278" s="181"/>
      <c r="L278" s="122"/>
      <c r="M278" s="122"/>
      <c r="N278" s="122"/>
      <c r="O278" s="122"/>
      <c r="P278" s="122"/>
      <c r="Q278" s="122"/>
      <c r="R278" s="122"/>
      <c r="S278" s="122"/>
      <c r="T278" s="122"/>
      <c r="U278" s="122"/>
      <c r="V278" s="122"/>
      <c r="W278" s="122"/>
      <c r="X278" s="122"/>
      <c r="Y278" s="122"/>
    </row>
    <row r="279" spans="1:25" ht="15.75" customHeight="1" x14ac:dyDescent="0.2">
      <c r="A279" s="181"/>
      <c r="B279" s="174"/>
      <c r="C279" s="175"/>
      <c r="D279" s="175"/>
      <c r="E279" s="175"/>
      <c r="F279" s="122"/>
      <c r="G279" s="122"/>
      <c r="H279" s="122"/>
      <c r="I279" s="122"/>
      <c r="J279" s="173"/>
      <c r="K279" s="181"/>
      <c r="L279" s="122"/>
      <c r="M279" s="122"/>
      <c r="N279" s="122"/>
      <c r="O279" s="122"/>
      <c r="P279" s="122"/>
      <c r="Q279" s="122"/>
      <c r="R279" s="122"/>
      <c r="S279" s="122"/>
      <c r="T279" s="122"/>
      <c r="U279" s="122"/>
      <c r="V279" s="122"/>
      <c r="W279" s="122"/>
      <c r="X279" s="122"/>
      <c r="Y279" s="122"/>
    </row>
    <row r="280" spans="1:25" ht="15.75" customHeight="1" x14ac:dyDescent="0.2">
      <c r="A280" s="181"/>
      <c r="B280" s="174"/>
      <c r="C280" s="175"/>
      <c r="D280" s="175"/>
      <c r="E280" s="175"/>
      <c r="F280" s="122"/>
      <c r="G280" s="122"/>
      <c r="H280" s="122"/>
      <c r="I280" s="122"/>
      <c r="J280" s="173"/>
      <c r="K280" s="181"/>
      <c r="L280" s="122"/>
      <c r="M280" s="122"/>
      <c r="N280" s="122"/>
      <c r="O280" s="122"/>
      <c r="P280" s="122"/>
      <c r="Q280" s="122"/>
      <c r="R280" s="122"/>
      <c r="S280" s="122"/>
      <c r="T280" s="122"/>
      <c r="U280" s="122"/>
      <c r="V280" s="122"/>
      <c r="W280" s="122"/>
      <c r="X280" s="122"/>
      <c r="Y280" s="122"/>
    </row>
    <row r="281" spans="1:25" ht="15.75" customHeight="1" x14ac:dyDescent="0.2">
      <c r="A281" s="181"/>
      <c r="B281" s="174"/>
      <c r="C281" s="175"/>
      <c r="D281" s="175"/>
      <c r="E281" s="175"/>
      <c r="F281" s="122"/>
      <c r="G281" s="122"/>
      <c r="H281" s="122"/>
      <c r="I281" s="122"/>
      <c r="J281" s="173"/>
      <c r="K281" s="181"/>
      <c r="L281" s="122"/>
      <c r="M281" s="122"/>
      <c r="N281" s="122"/>
      <c r="O281" s="122"/>
      <c r="P281" s="122"/>
      <c r="Q281" s="122"/>
      <c r="R281" s="122"/>
      <c r="S281" s="122"/>
      <c r="T281" s="122"/>
      <c r="U281" s="122"/>
      <c r="V281" s="122"/>
      <c r="W281" s="122"/>
      <c r="X281" s="122"/>
      <c r="Y281" s="122"/>
    </row>
    <row r="282" spans="1:25" ht="15.75" customHeight="1" x14ac:dyDescent="0.2">
      <c r="A282" s="181"/>
      <c r="B282" s="174"/>
      <c r="C282" s="175"/>
      <c r="D282" s="175"/>
      <c r="E282" s="175"/>
      <c r="F282" s="122"/>
      <c r="G282" s="122"/>
      <c r="H282" s="122"/>
      <c r="I282" s="122"/>
      <c r="J282" s="173"/>
      <c r="K282" s="181"/>
      <c r="L282" s="122"/>
      <c r="M282" s="122"/>
      <c r="N282" s="122"/>
      <c r="O282" s="122"/>
      <c r="P282" s="122"/>
      <c r="Q282" s="122"/>
      <c r="R282" s="122"/>
      <c r="S282" s="122"/>
      <c r="T282" s="122"/>
      <c r="U282" s="122"/>
      <c r="V282" s="122"/>
      <c r="W282" s="122"/>
      <c r="X282" s="122"/>
      <c r="Y282" s="122"/>
    </row>
    <row r="283" spans="1:25" ht="15.75" customHeight="1" x14ac:dyDescent="0.2">
      <c r="A283" s="181"/>
      <c r="B283" s="174"/>
      <c r="C283" s="175"/>
      <c r="D283" s="175"/>
      <c r="E283" s="175"/>
      <c r="F283" s="122"/>
      <c r="G283" s="122"/>
      <c r="H283" s="122"/>
      <c r="I283" s="122"/>
      <c r="J283" s="173"/>
      <c r="K283" s="181"/>
      <c r="L283" s="122"/>
      <c r="M283" s="122"/>
      <c r="N283" s="122"/>
      <c r="O283" s="122"/>
      <c r="P283" s="122"/>
      <c r="Q283" s="122"/>
      <c r="R283" s="122"/>
      <c r="S283" s="122"/>
      <c r="T283" s="122"/>
      <c r="U283" s="122"/>
      <c r="V283" s="122"/>
      <c r="W283" s="122"/>
      <c r="X283" s="122"/>
      <c r="Y283" s="122"/>
    </row>
    <row r="284" spans="1:25" ht="15.75" customHeight="1" x14ac:dyDescent="0.2">
      <c r="A284" s="181"/>
      <c r="B284" s="174"/>
      <c r="C284" s="175"/>
      <c r="D284" s="175"/>
      <c r="E284" s="175"/>
      <c r="F284" s="122"/>
      <c r="G284" s="122"/>
      <c r="H284" s="122"/>
      <c r="I284" s="122"/>
      <c r="J284" s="173"/>
      <c r="K284" s="181"/>
      <c r="L284" s="122"/>
      <c r="M284" s="122"/>
      <c r="N284" s="122"/>
      <c r="O284" s="122"/>
      <c r="P284" s="122"/>
      <c r="Q284" s="122"/>
      <c r="R284" s="122"/>
      <c r="S284" s="122"/>
      <c r="T284" s="122"/>
      <c r="U284" s="122"/>
      <c r="V284" s="122"/>
      <c r="W284" s="122"/>
      <c r="X284" s="122"/>
      <c r="Y284" s="122"/>
    </row>
    <row r="285" spans="1:25" ht="15.75" customHeight="1" x14ac:dyDescent="0.2">
      <c r="A285" s="181"/>
      <c r="B285" s="174"/>
      <c r="C285" s="175"/>
      <c r="D285" s="175"/>
      <c r="E285" s="175"/>
      <c r="F285" s="122"/>
      <c r="G285" s="122"/>
      <c r="H285" s="122"/>
      <c r="I285" s="122"/>
      <c r="J285" s="173"/>
      <c r="K285" s="181"/>
      <c r="L285" s="122"/>
      <c r="M285" s="122"/>
      <c r="N285" s="122"/>
      <c r="O285" s="122"/>
      <c r="P285" s="122"/>
      <c r="Q285" s="122"/>
      <c r="R285" s="122"/>
      <c r="S285" s="122"/>
      <c r="T285" s="122"/>
      <c r="U285" s="122"/>
      <c r="V285" s="122"/>
      <c r="W285" s="122"/>
      <c r="X285" s="122"/>
      <c r="Y285" s="122"/>
    </row>
    <row r="286" spans="1:25" ht="15.75" customHeight="1" x14ac:dyDescent="0.2">
      <c r="A286" s="181"/>
      <c r="B286" s="174"/>
      <c r="C286" s="175"/>
      <c r="D286" s="175"/>
      <c r="E286" s="175"/>
      <c r="F286" s="122"/>
      <c r="G286" s="122"/>
      <c r="H286" s="122"/>
      <c r="I286" s="122"/>
      <c r="J286" s="173"/>
      <c r="K286" s="181"/>
      <c r="L286" s="122"/>
      <c r="M286" s="122"/>
      <c r="N286" s="122"/>
      <c r="O286" s="122"/>
      <c r="P286" s="122"/>
      <c r="Q286" s="122"/>
      <c r="R286" s="122"/>
      <c r="S286" s="122"/>
      <c r="T286" s="122"/>
      <c r="U286" s="122"/>
      <c r="V286" s="122"/>
      <c r="W286" s="122"/>
      <c r="X286" s="122"/>
      <c r="Y286" s="122"/>
    </row>
    <row r="287" spans="1:25" ht="15.75" customHeight="1" x14ac:dyDescent="0.2">
      <c r="A287" s="181"/>
      <c r="B287" s="174"/>
      <c r="C287" s="175"/>
      <c r="D287" s="175"/>
      <c r="E287" s="175"/>
      <c r="F287" s="122"/>
      <c r="G287" s="122"/>
      <c r="H287" s="122"/>
      <c r="I287" s="122"/>
      <c r="J287" s="173"/>
      <c r="K287" s="181"/>
      <c r="L287" s="122"/>
      <c r="M287" s="122"/>
      <c r="N287" s="122"/>
      <c r="O287" s="122"/>
      <c r="P287" s="122"/>
      <c r="Q287" s="122"/>
      <c r="R287" s="122"/>
      <c r="S287" s="122"/>
      <c r="T287" s="122"/>
      <c r="U287" s="122"/>
      <c r="V287" s="122"/>
      <c r="W287" s="122"/>
      <c r="X287" s="122"/>
      <c r="Y287" s="122"/>
    </row>
    <row r="288" spans="1:25" ht="15.75" customHeight="1" x14ac:dyDescent="0.2">
      <c r="A288" s="181"/>
      <c r="B288" s="174"/>
      <c r="C288" s="175"/>
      <c r="D288" s="175"/>
      <c r="E288" s="175"/>
      <c r="F288" s="122"/>
      <c r="G288" s="122"/>
      <c r="H288" s="122"/>
      <c r="I288" s="122"/>
      <c r="J288" s="173"/>
      <c r="K288" s="181"/>
      <c r="L288" s="122"/>
      <c r="M288" s="122"/>
      <c r="N288" s="122"/>
      <c r="O288" s="122"/>
      <c r="P288" s="122"/>
      <c r="Q288" s="122"/>
      <c r="R288" s="122"/>
      <c r="S288" s="122"/>
      <c r="T288" s="122"/>
      <c r="U288" s="122"/>
      <c r="V288" s="122"/>
      <c r="W288" s="122"/>
      <c r="X288" s="122"/>
      <c r="Y288" s="122"/>
    </row>
    <row r="289" spans="1:25" ht="15.75" customHeight="1" x14ac:dyDescent="0.2">
      <c r="A289" s="181"/>
      <c r="B289" s="174"/>
      <c r="C289" s="175"/>
      <c r="D289" s="175"/>
      <c r="E289" s="175"/>
      <c r="F289" s="122"/>
      <c r="G289" s="122"/>
      <c r="H289" s="122"/>
      <c r="I289" s="122"/>
      <c r="J289" s="173"/>
      <c r="K289" s="181"/>
      <c r="L289" s="122"/>
      <c r="M289" s="122"/>
      <c r="N289" s="122"/>
      <c r="O289" s="122"/>
      <c r="P289" s="122"/>
      <c r="Q289" s="122"/>
      <c r="R289" s="122"/>
      <c r="S289" s="122"/>
      <c r="T289" s="122"/>
      <c r="U289" s="122"/>
      <c r="V289" s="122"/>
      <c r="W289" s="122"/>
      <c r="X289" s="122"/>
      <c r="Y289" s="122"/>
    </row>
    <row r="290" spans="1:25" ht="15.75" customHeight="1" x14ac:dyDescent="0.2">
      <c r="A290" s="181"/>
      <c r="B290" s="174"/>
      <c r="C290" s="175"/>
      <c r="D290" s="175"/>
      <c r="E290" s="175"/>
      <c r="F290" s="122"/>
      <c r="G290" s="122"/>
      <c r="H290" s="122"/>
      <c r="I290" s="122"/>
      <c r="J290" s="173"/>
      <c r="K290" s="181"/>
      <c r="L290" s="122"/>
      <c r="M290" s="122"/>
      <c r="N290" s="122"/>
      <c r="O290" s="122"/>
      <c r="P290" s="122"/>
      <c r="Q290" s="122"/>
      <c r="R290" s="122"/>
      <c r="S290" s="122"/>
      <c r="T290" s="122"/>
      <c r="U290" s="122"/>
      <c r="V290" s="122"/>
      <c r="W290" s="122"/>
      <c r="X290" s="122"/>
      <c r="Y290" s="122"/>
    </row>
    <row r="291" spans="1:25" ht="15.75" customHeight="1" x14ac:dyDescent="0.2">
      <c r="A291" s="181"/>
      <c r="B291" s="174"/>
      <c r="C291" s="175"/>
      <c r="D291" s="175"/>
      <c r="E291" s="175"/>
      <c r="F291" s="122"/>
      <c r="G291" s="122"/>
      <c r="H291" s="122"/>
      <c r="I291" s="122"/>
      <c r="J291" s="173"/>
      <c r="K291" s="181"/>
      <c r="L291" s="122"/>
      <c r="M291" s="122"/>
      <c r="N291" s="122"/>
      <c r="O291" s="122"/>
      <c r="P291" s="122"/>
      <c r="Q291" s="122"/>
      <c r="R291" s="122"/>
      <c r="S291" s="122"/>
      <c r="T291" s="122"/>
      <c r="U291" s="122"/>
      <c r="V291" s="122"/>
      <c r="W291" s="122"/>
      <c r="X291" s="122"/>
      <c r="Y291" s="122"/>
    </row>
    <row r="292" spans="1:25" ht="15.75" customHeight="1" x14ac:dyDescent="0.2">
      <c r="A292" s="181"/>
      <c r="B292" s="174"/>
      <c r="C292" s="175"/>
      <c r="D292" s="175"/>
      <c r="E292" s="175"/>
      <c r="F292" s="122"/>
      <c r="G292" s="122"/>
      <c r="H292" s="122"/>
      <c r="I292" s="122"/>
      <c r="J292" s="173"/>
      <c r="K292" s="181"/>
      <c r="L292" s="122"/>
      <c r="M292" s="122"/>
      <c r="N292" s="122"/>
      <c r="O292" s="122"/>
      <c r="P292" s="122"/>
      <c r="Q292" s="122"/>
      <c r="R292" s="122"/>
      <c r="S292" s="122"/>
      <c r="T292" s="122"/>
      <c r="U292" s="122"/>
      <c r="V292" s="122"/>
      <c r="W292" s="122"/>
      <c r="X292" s="122"/>
      <c r="Y292" s="122"/>
    </row>
    <row r="293" spans="1:25" ht="15.75" customHeight="1" x14ac:dyDescent="0.2">
      <c r="A293" s="181"/>
      <c r="B293" s="174"/>
      <c r="C293" s="175"/>
      <c r="D293" s="175"/>
      <c r="E293" s="175"/>
      <c r="F293" s="122"/>
      <c r="G293" s="122"/>
      <c r="H293" s="122"/>
      <c r="I293" s="122"/>
      <c r="J293" s="173"/>
      <c r="K293" s="181"/>
      <c r="L293" s="122"/>
      <c r="M293" s="122"/>
      <c r="N293" s="122"/>
      <c r="O293" s="122"/>
      <c r="P293" s="122"/>
      <c r="Q293" s="122"/>
      <c r="R293" s="122"/>
      <c r="S293" s="122"/>
      <c r="T293" s="122"/>
      <c r="U293" s="122"/>
      <c r="V293" s="122"/>
      <c r="W293" s="122"/>
      <c r="X293" s="122"/>
      <c r="Y293" s="122"/>
    </row>
    <row r="294" spans="1:25" ht="15.75" customHeight="1" x14ac:dyDescent="0.2">
      <c r="A294" s="181"/>
      <c r="B294" s="174"/>
      <c r="C294" s="175"/>
      <c r="D294" s="175"/>
      <c r="E294" s="175"/>
      <c r="F294" s="122"/>
      <c r="G294" s="122"/>
      <c r="H294" s="122"/>
      <c r="I294" s="122"/>
      <c r="J294" s="173"/>
      <c r="K294" s="181"/>
      <c r="L294" s="122"/>
      <c r="M294" s="122"/>
      <c r="N294" s="122"/>
      <c r="O294" s="122"/>
      <c r="P294" s="122"/>
      <c r="Q294" s="122"/>
      <c r="R294" s="122"/>
      <c r="S294" s="122"/>
      <c r="T294" s="122"/>
      <c r="U294" s="122"/>
      <c r="V294" s="122"/>
      <c r="W294" s="122"/>
      <c r="X294" s="122"/>
      <c r="Y294" s="122"/>
    </row>
    <row r="295" spans="1:25" ht="15.75" customHeight="1" x14ac:dyDescent="0.2">
      <c r="A295" s="181"/>
      <c r="B295" s="174"/>
      <c r="C295" s="175"/>
      <c r="D295" s="175"/>
      <c r="E295" s="175"/>
      <c r="F295" s="122"/>
      <c r="G295" s="122"/>
      <c r="H295" s="122"/>
      <c r="I295" s="122"/>
      <c r="J295" s="173"/>
      <c r="K295" s="181"/>
      <c r="L295" s="122"/>
      <c r="M295" s="122"/>
      <c r="N295" s="122"/>
      <c r="O295" s="122"/>
      <c r="P295" s="122"/>
      <c r="Q295" s="122"/>
      <c r="R295" s="122"/>
      <c r="S295" s="122"/>
      <c r="T295" s="122"/>
      <c r="U295" s="122"/>
      <c r="V295" s="122"/>
      <c r="W295" s="122"/>
      <c r="X295" s="122"/>
      <c r="Y295" s="122"/>
    </row>
    <row r="296" spans="1:25" ht="15.75" customHeight="1" x14ac:dyDescent="0.2">
      <c r="A296" s="181"/>
      <c r="B296" s="174"/>
      <c r="C296" s="175"/>
      <c r="D296" s="175"/>
      <c r="E296" s="175"/>
      <c r="F296" s="122"/>
      <c r="G296" s="122"/>
      <c r="H296" s="122"/>
      <c r="I296" s="122"/>
      <c r="J296" s="173"/>
      <c r="K296" s="181"/>
      <c r="L296" s="122"/>
      <c r="M296" s="122"/>
      <c r="N296" s="122"/>
      <c r="O296" s="122"/>
      <c r="P296" s="122"/>
      <c r="Q296" s="122"/>
      <c r="R296" s="122"/>
      <c r="S296" s="122"/>
      <c r="T296" s="122"/>
      <c r="U296" s="122"/>
      <c r="V296" s="122"/>
      <c r="W296" s="122"/>
      <c r="X296" s="122"/>
      <c r="Y296" s="122"/>
    </row>
    <row r="297" spans="1:25" ht="15.75" customHeight="1" x14ac:dyDescent="0.2">
      <c r="A297" s="181"/>
      <c r="B297" s="174"/>
      <c r="C297" s="175"/>
      <c r="D297" s="175"/>
      <c r="E297" s="175"/>
      <c r="F297" s="122"/>
      <c r="G297" s="122"/>
      <c r="H297" s="122"/>
      <c r="I297" s="122"/>
      <c r="J297" s="173"/>
      <c r="K297" s="181"/>
      <c r="L297" s="122"/>
      <c r="M297" s="122"/>
      <c r="N297" s="122"/>
      <c r="O297" s="122"/>
      <c r="P297" s="122"/>
      <c r="Q297" s="122"/>
      <c r="R297" s="122"/>
      <c r="S297" s="122"/>
      <c r="T297" s="122"/>
      <c r="U297" s="122"/>
      <c r="V297" s="122"/>
      <c r="W297" s="122"/>
      <c r="X297" s="122"/>
      <c r="Y297" s="122"/>
    </row>
    <row r="298" spans="1:25" ht="15.75" customHeight="1" x14ac:dyDescent="0.2">
      <c r="A298" s="181"/>
      <c r="B298" s="174"/>
      <c r="C298" s="175"/>
      <c r="D298" s="175"/>
      <c r="E298" s="175"/>
      <c r="F298" s="122"/>
      <c r="G298" s="122"/>
      <c r="H298" s="122"/>
      <c r="I298" s="122"/>
      <c r="J298" s="173"/>
      <c r="K298" s="181"/>
      <c r="L298" s="122"/>
      <c r="M298" s="122"/>
      <c r="N298" s="122"/>
      <c r="O298" s="122"/>
      <c r="P298" s="122"/>
      <c r="Q298" s="122"/>
      <c r="R298" s="122"/>
      <c r="S298" s="122"/>
      <c r="T298" s="122"/>
      <c r="U298" s="122"/>
      <c r="V298" s="122"/>
      <c r="W298" s="122"/>
      <c r="X298" s="122"/>
      <c r="Y298" s="122"/>
    </row>
    <row r="299" spans="1:25" ht="15.75" customHeight="1" x14ac:dyDescent="0.2">
      <c r="A299" s="181"/>
      <c r="B299" s="174"/>
      <c r="C299" s="175"/>
      <c r="D299" s="175"/>
      <c r="E299" s="175"/>
      <c r="F299" s="122"/>
      <c r="G299" s="122"/>
      <c r="H299" s="122"/>
      <c r="I299" s="122"/>
      <c r="J299" s="173"/>
      <c r="K299" s="181"/>
      <c r="L299" s="122"/>
      <c r="M299" s="122"/>
      <c r="N299" s="122"/>
      <c r="O299" s="122"/>
      <c r="P299" s="122"/>
      <c r="Q299" s="122"/>
      <c r="R299" s="122"/>
      <c r="S299" s="122"/>
      <c r="T299" s="122"/>
      <c r="U299" s="122"/>
      <c r="V299" s="122"/>
      <c r="W299" s="122"/>
      <c r="X299" s="122"/>
      <c r="Y299" s="122"/>
    </row>
    <row r="300" spans="1:25" ht="15.75" customHeight="1" x14ac:dyDescent="0.2">
      <c r="A300" s="181"/>
      <c r="B300" s="174"/>
      <c r="C300" s="175"/>
      <c r="D300" s="175"/>
      <c r="E300" s="175"/>
      <c r="F300" s="122"/>
      <c r="G300" s="122"/>
      <c r="H300" s="122"/>
      <c r="I300" s="122"/>
      <c r="J300" s="173"/>
      <c r="K300" s="181"/>
      <c r="L300" s="122"/>
      <c r="M300" s="122"/>
      <c r="N300" s="122"/>
      <c r="O300" s="122"/>
      <c r="P300" s="122"/>
      <c r="Q300" s="122"/>
      <c r="R300" s="122"/>
      <c r="S300" s="122"/>
      <c r="T300" s="122"/>
      <c r="U300" s="122"/>
      <c r="V300" s="122"/>
      <c r="W300" s="122"/>
      <c r="X300" s="122"/>
      <c r="Y300" s="122"/>
    </row>
    <row r="301" spans="1:25" ht="15.75" customHeight="1" x14ac:dyDescent="0.2">
      <c r="A301" s="181"/>
      <c r="B301" s="174"/>
      <c r="C301" s="175"/>
      <c r="D301" s="175"/>
      <c r="E301" s="175"/>
      <c r="F301" s="122"/>
      <c r="G301" s="122"/>
      <c r="H301" s="122"/>
      <c r="I301" s="122"/>
      <c r="J301" s="173"/>
      <c r="K301" s="181"/>
      <c r="L301" s="122"/>
      <c r="M301" s="122"/>
      <c r="N301" s="122"/>
      <c r="O301" s="122"/>
      <c r="P301" s="122"/>
      <c r="Q301" s="122"/>
      <c r="R301" s="122"/>
      <c r="S301" s="122"/>
      <c r="T301" s="122"/>
      <c r="U301" s="122"/>
      <c r="V301" s="122"/>
      <c r="W301" s="122"/>
      <c r="X301" s="122"/>
      <c r="Y301" s="122"/>
    </row>
    <row r="302" spans="1:25" ht="15.75" customHeight="1" x14ac:dyDescent="0.2">
      <c r="A302" s="181"/>
      <c r="B302" s="174"/>
      <c r="C302" s="175"/>
      <c r="D302" s="175"/>
      <c r="E302" s="175"/>
      <c r="F302" s="122"/>
      <c r="G302" s="122"/>
      <c r="H302" s="122"/>
      <c r="I302" s="122"/>
      <c r="J302" s="173"/>
      <c r="K302" s="181"/>
      <c r="L302" s="122"/>
      <c r="M302" s="122"/>
      <c r="N302" s="122"/>
      <c r="O302" s="122"/>
      <c r="P302" s="122"/>
      <c r="Q302" s="122"/>
      <c r="R302" s="122"/>
      <c r="S302" s="122"/>
      <c r="T302" s="122"/>
      <c r="U302" s="122"/>
      <c r="V302" s="122"/>
      <c r="W302" s="122"/>
      <c r="X302" s="122"/>
      <c r="Y302" s="122"/>
    </row>
    <row r="303" spans="1:25" ht="15.75" customHeight="1" x14ac:dyDescent="0.2">
      <c r="A303" s="181"/>
      <c r="B303" s="174"/>
      <c r="C303" s="175"/>
      <c r="D303" s="175"/>
      <c r="E303" s="175"/>
      <c r="F303" s="122"/>
      <c r="G303" s="122"/>
      <c r="H303" s="122"/>
      <c r="I303" s="122"/>
      <c r="J303" s="173"/>
      <c r="K303" s="181"/>
      <c r="L303" s="122"/>
      <c r="M303" s="122"/>
      <c r="N303" s="122"/>
      <c r="O303" s="122"/>
      <c r="P303" s="122"/>
      <c r="Q303" s="122"/>
      <c r="R303" s="122"/>
      <c r="S303" s="122"/>
      <c r="T303" s="122"/>
      <c r="U303" s="122"/>
      <c r="V303" s="122"/>
      <c r="W303" s="122"/>
      <c r="X303" s="122"/>
      <c r="Y303" s="122"/>
    </row>
    <row r="304" spans="1:25" ht="15.75" customHeight="1" x14ac:dyDescent="0.2">
      <c r="A304" s="181"/>
      <c r="B304" s="174"/>
      <c r="C304" s="175"/>
      <c r="D304" s="175"/>
      <c r="E304" s="175"/>
      <c r="F304" s="122"/>
      <c r="G304" s="122"/>
      <c r="H304" s="122"/>
      <c r="I304" s="122"/>
      <c r="J304" s="173"/>
      <c r="K304" s="181"/>
      <c r="L304" s="122"/>
      <c r="M304" s="122"/>
      <c r="N304" s="122"/>
      <c r="O304" s="122"/>
      <c r="P304" s="122"/>
      <c r="Q304" s="122"/>
      <c r="R304" s="122"/>
      <c r="S304" s="122"/>
      <c r="T304" s="122"/>
      <c r="U304" s="122"/>
      <c r="V304" s="122"/>
      <c r="W304" s="122"/>
      <c r="X304" s="122"/>
      <c r="Y304" s="122"/>
    </row>
    <row r="305" spans="1:25" ht="15.75" customHeight="1" x14ac:dyDescent="0.2">
      <c r="A305" s="181"/>
      <c r="B305" s="174"/>
      <c r="C305" s="175"/>
      <c r="D305" s="175"/>
      <c r="E305" s="175"/>
      <c r="F305" s="122"/>
      <c r="G305" s="122"/>
      <c r="H305" s="122"/>
      <c r="I305" s="122"/>
      <c r="J305" s="173"/>
      <c r="K305" s="181"/>
      <c r="L305" s="122"/>
      <c r="M305" s="122"/>
      <c r="N305" s="122"/>
      <c r="O305" s="122"/>
      <c r="P305" s="122"/>
      <c r="Q305" s="122"/>
      <c r="R305" s="122"/>
      <c r="S305" s="122"/>
      <c r="T305" s="122"/>
      <c r="U305" s="122"/>
      <c r="V305" s="122"/>
      <c r="W305" s="122"/>
      <c r="X305" s="122"/>
      <c r="Y305" s="122"/>
    </row>
    <row r="306" spans="1:25" ht="15.75" customHeight="1" x14ac:dyDescent="0.2">
      <c r="A306" s="181"/>
      <c r="B306" s="174"/>
      <c r="C306" s="175"/>
      <c r="D306" s="175"/>
      <c r="E306" s="175"/>
      <c r="F306" s="122"/>
      <c r="G306" s="122"/>
      <c r="H306" s="122"/>
      <c r="I306" s="122"/>
      <c r="J306" s="173"/>
      <c r="K306" s="181"/>
      <c r="L306" s="122"/>
      <c r="M306" s="122"/>
      <c r="N306" s="122"/>
      <c r="O306" s="122"/>
      <c r="P306" s="122"/>
      <c r="Q306" s="122"/>
      <c r="R306" s="122"/>
      <c r="S306" s="122"/>
      <c r="T306" s="122"/>
      <c r="U306" s="122"/>
      <c r="V306" s="122"/>
      <c r="W306" s="122"/>
      <c r="X306" s="122"/>
      <c r="Y306" s="122"/>
    </row>
    <row r="307" spans="1:25" ht="15.75" customHeight="1" x14ac:dyDescent="0.2">
      <c r="A307" s="181"/>
      <c r="B307" s="174"/>
      <c r="C307" s="175"/>
      <c r="D307" s="175"/>
      <c r="E307" s="175"/>
      <c r="F307" s="122"/>
      <c r="G307" s="122"/>
      <c r="H307" s="122"/>
      <c r="I307" s="122"/>
      <c r="J307" s="173"/>
      <c r="K307" s="181"/>
      <c r="L307" s="122"/>
      <c r="M307" s="122"/>
      <c r="N307" s="122"/>
      <c r="O307" s="122"/>
      <c r="P307" s="122"/>
      <c r="Q307" s="122"/>
      <c r="R307" s="122"/>
      <c r="S307" s="122"/>
      <c r="T307" s="122"/>
      <c r="U307" s="122"/>
      <c r="V307" s="122"/>
      <c r="W307" s="122"/>
      <c r="X307" s="122"/>
      <c r="Y307" s="122"/>
    </row>
    <row r="308" spans="1:25" ht="15.75" customHeight="1" x14ac:dyDescent="0.2">
      <c r="A308" s="181"/>
      <c r="B308" s="174"/>
      <c r="C308" s="175"/>
      <c r="D308" s="175"/>
      <c r="E308" s="175"/>
      <c r="F308" s="122"/>
      <c r="G308" s="122"/>
      <c r="H308" s="122"/>
      <c r="I308" s="122"/>
      <c r="J308" s="173"/>
      <c r="K308" s="181"/>
      <c r="L308" s="122"/>
      <c r="M308" s="122"/>
      <c r="N308" s="122"/>
      <c r="O308" s="122"/>
      <c r="P308" s="122"/>
      <c r="Q308" s="122"/>
      <c r="R308" s="122"/>
      <c r="S308" s="122"/>
      <c r="T308" s="122"/>
      <c r="U308" s="122"/>
      <c r="V308" s="122"/>
      <c r="W308" s="122"/>
      <c r="X308" s="122"/>
      <c r="Y308" s="122"/>
    </row>
    <row r="309" spans="1:25" ht="15.75" customHeight="1" x14ac:dyDescent="0.2">
      <c r="A309" s="181"/>
      <c r="B309" s="174"/>
      <c r="C309" s="175"/>
      <c r="D309" s="175"/>
      <c r="E309" s="175"/>
      <c r="F309" s="122"/>
      <c r="G309" s="122"/>
      <c r="H309" s="122"/>
      <c r="I309" s="122"/>
      <c r="J309" s="173"/>
      <c r="K309" s="181"/>
      <c r="L309" s="122"/>
      <c r="M309" s="122"/>
      <c r="N309" s="122"/>
      <c r="O309" s="122"/>
      <c r="P309" s="122"/>
      <c r="Q309" s="122"/>
      <c r="R309" s="122"/>
      <c r="S309" s="122"/>
      <c r="T309" s="122"/>
      <c r="U309" s="122"/>
      <c r="V309" s="122"/>
      <c r="W309" s="122"/>
      <c r="X309" s="122"/>
      <c r="Y309" s="122"/>
    </row>
    <row r="310" spans="1:25" ht="15.75" customHeight="1" x14ac:dyDescent="0.2">
      <c r="A310" s="181"/>
      <c r="B310" s="174"/>
      <c r="C310" s="175"/>
      <c r="D310" s="175"/>
      <c r="E310" s="175"/>
      <c r="F310" s="122"/>
      <c r="G310" s="122"/>
      <c r="H310" s="122"/>
      <c r="I310" s="122"/>
      <c r="J310" s="173"/>
      <c r="K310" s="181"/>
      <c r="L310" s="122"/>
      <c r="M310" s="122"/>
      <c r="N310" s="122"/>
      <c r="O310" s="122"/>
      <c r="P310" s="122"/>
      <c r="Q310" s="122"/>
      <c r="R310" s="122"/>
      <c r="S310" s="122"/>
      <c r="T310" s="122"/>
      <c r="U310" s="122"/>
      <c r="V310" s="122"/>
      <c r="W310" s="122"/>
      <c r="X310" s="122"/>
      <c r="Y310" s="122"/>
    </row>
    <row r="311" spans="1:25" ht="15.75" customHeight="1" x14ac:dyDescent="0.2">
      <c r="A311" s="181"/>
      <c r="B311" s="174"/>
      <c r="C311" s="175"/>
      <c r="D311" s="175"/>
      <c r="E311" s="175"/>
      <c r="F311" s="122"/>
      <c r="G311" s="122"/>
      <c r="H311" s="122"/>
      <c r="I311" s="122"/>
      <c r="J311" s="173"/>
      <c r="K311" s="181"/>
      <c r="L311" s="122"/>
      <c r="M311" s="122"/>
      <c r="N311" s="122"/>
      <c r="O311" s="122"/>
      <c r="P311" s="122"/>
      <c r="Q311" s="122"/>
      <c r="R311" s="122"/>
      <c r="S311" s="122"/>
      <c r="T311" s="122"/>
      <c r="U311" s="122"/>
      <c r="V311" s="122"/>
      <c r="W311" s="122"/>
      <c r="X311" s="122"/>
      <c r="Y311" s="122"/>
    </row>
    <row r="312" spans="1:25" ht="15.75" customHeight="1" x14ac:dyDescent="0.2">
      <c r="A312" s="181"/>
      <c r="B312" s="174"/>
      <c r="C312" s="175"/>
      <c r="D312" s="175"/>
      <c r="E312" s="175"/>
      <c r="F312" s="122"/>
      <c r="G312" s="122"/>
      <c r="H312" s="122"/>
      <c r="I312" s="122"/>
      <c r="J312" s="173"/>
      <c r="K312" s="181"/>
      <c r="L312" s="122"/>
      <c r="M312" s="122"/>
      <c r="N312" s="122"/>
      <c r="O312" s="122"/>
      <c r="P312" s="122"/>
      <c r="Q312" s="122"/>
      <c r="R312" s="122"/>
      <c r="S312" s="122"/>
      <c r="T312" s="122"/>
      <c r="U312" s="122"/>
      <c r="V312" s="122"/>
      <c r="W312" s="122"/>
      <c r="X312" s="122"/>
      <c r="Y312" s="122"/>
    </row>
    <row r="313" spans="1:25" ht="15.75" customHeight="1" x14ac:dyDescent="0.2">
      <c r="A313" s="181"/>
      <c r="B313" s="174"/>
      <c r="C313" s="175"/>
      <c r="D313" s="175"/>
      <c r="E313" s="175"/>
      <c r="F313" s="122"/>
      <c r="G313" s="122"/>
      <c r="H313" s="122"/>
      <c r="I313" s="122"/>
      <c r="J313" s="173"/>
      <c r="K313" s="181"/>
      <c r="L313" s="122"/>
      <c r="M313" s="122"/>
      <c r="N313" s="122"/>
      <c r="O313" s="122"/>
      <c r="P313" s="122"/>
      <c r="Q313" s="122"/>
      <c r="R313" s="122"/>
      <c r="S313" s="122"/>
      <c r="T313" s="122"/>
      <c r="U313" s="122"/>
      <c r="V313" s="122"/>
      <c r="W313" s="122"/>
      <c r="X313" s="122"/>
      <c r="Y313" s="122"/>
    </row>
    <row r="314" spans="1:25" ht="15.75" customHeight="1" x14ac:dyDescent="0.2">
      <c r="A314" s="181"/>
      <c r="B314" s="174"/>
      <c r="C314" s="175"/>
      <c r="D314" s="175"/>
      <c r="E314" s="175"/>
      <c r="F314" s="122"/>
      <c r="G314" s="122"/>
      <c r="H314" s="122"/>
      <c r="I314" s="122"/>
      <c r="J314" s="173"/>
      <c r="K314" s="181"/>
      <c r="L314" s="122"/>
      <c r="M314" s="122"/>
      <c r="N314" s="122"/>
      <c r="O314" s="122"/>
      <c r="P314" s="122"/>
      <c r="Q314" s="122"/>
      <c r="R314" s="122"/>
      <c r="S314" s="122"/>
      <c r="T314" s="122"/>
      <c r="U314" s="122"/>
      <c r="V314" s="122"/>
      <c r="W314" s="122"/>
      <c r="X314" s="122"/>
      <c r="Y314" s="122"/>
    </row>
    <row r="315" spans="1:25" ht="15.75" customHeight="1" x14ac:dyDescent="0.2">
      <c r="A315" s="181"/>
      <c r="B315" s="174"/>
      <c r="C315" s="175"/>
      <c r="D315" s="175"/>
      <c r="E315" s="175"/>
      <c r="F315" s="122"/>
      <c r="G315" s="122"/>
      <c r="H315" s="122"/>
      <c r="I315" s="122"/>
      <c r="J315" s="173"/>
      <c r="K315" s="181"/>
      <c r="L315" s="122"/>
      <c r="M315" s="122"/>
      <c r="N315" s="122"/>
      <c r="O315" s="122"/>
      <c r="P315" s="122"/>
      <c r="Q315" s="122"/>
      <c r="R315" s="122"/>
      <c r="S315" s="122"/>
      <c r="T315" s="122"/>
      <c r="U315" s="122"/>
      <c r="V315" s="122"/>
      <c r="W315" s="122"/>
      <c r="X315" s="122"/>
      <c r="Y315" s="122"/>
    </row>
    <row r="316" spans="1:25" ht="15.75" customHeight="1" x14ac:dyDescent="0.2">
      <c r="A316" s="181"/>
      <c r="B316" s="174"/>
      <c r="C316" s="175"/>
      <c r="D316" s="175"/>
      <c r="E316" s="175"/>
      <c r="F316" s="122"/>
      <c r="G316" s="122"/>
      <c r="H316" s="122"/>
      <c r="I316" s="122"/>
      <c r="J316" s="173"/>
      <c r="K316" s="181"/>
      <c r="L316" s="122"/>
      <c r="M316" s="122"/>
      <c r="N316" s="122"/>
      <c r="O316" s="122"/>
      <c r="P316" s="122"/>
      <c r="Q316" s="122"/>
      <c r="R316" s="122"/>
      <c r="S316" s="122"/>
      <c r="T316" s="122"/>
      <c r="U316" s="122"/>
      <c r="V316" s="122"/>
      <c r="W316" s="122"/>
      <c r="X316" s="122"/>
      <c r="Y316" s="122"/>
    </row>
    <row r="317" spans="1:25" ht="15.75" customHeight="1" x14ac:dyDescent="0.2">
      <c r="A317" s="181"/>
      <c r="B317" s="174"/>
      <c r="C317" s="175"/>
      <c r="D317" s="175"/>
      <c r="E317" s="175"/>
      <c r="F317" s="122"/>
      <c r="G317" s="122"/>
      <c r="H317" s="122"/>
      <c r="I317" s="122"/>
      <c r="J317" s="173"/>
      <c r="K317" s="181"/>
      <c r="L317" s="122"/>
      <c r="M317" s="122"/>
      <c r="N317" s="122"/>
      <c r="O317" s="122"/>
      <c r="P317" s="122"/>
      <c r="Q317" s="122"/>
      <c r="R317" s="122"/>
      <c r="S317" s="122"/>
      <c r="T317" s="122"/>
      <c r="U317" s="122"/>
      <c r="V317" s="122"/>
      <c r="W317" s="122"/>
      <c r="X317" s="122"/>
      <c r="Y317" s="122"/>
    </row>
    <row r="318" spans="1:25" ht="15.75" customHeight="1" x14ac:dyDescent="0.2">
      <c r="A318" s="181"/>
      <c r="B318" s="174"/>
      <c r="C318" s="175"/>
      <c r="D318" s="175"/>
      <c r="E318" s="175"/>
      <c r="F318" s="122"/>
      <c r="G318" s="122"/>
      <c r="H318" s="122"/>
      <c r="I318" s="122"/>
      <c r="J318" s="173"/>
      <c r="K318" s="181"/>
      <c r="L318" s="122"/>
      <c r="M318" s="122"/>
      <c r="N318" s="122"/>
      <c r="O318" s="122"/>
      <c r="P318" s="122"/>
      <c r="Q318" s="122"/>
      <c r="R318" s="122"/>
      <c r="S318" s="122"/>
      <c r="T318" s="122"/>
      <c r="U318" s="122"/>
      <c r="V318" s="122"/>
      <c r="W318" s="122"/>
      <c r="X318" s="122"/>
      <c r="Y318" s="122"/>
    </row>
    <row r="319" spans="1:25" ht="15.75" customHeight="1" x14ac:dyDescent="0.2">
      <c r="A319" s="181"/>
      <c r="B319" s="174"/>
      <c r="C319" s="175"/>
      <c r="D319" s="175"/>
      <c r="E319" s="175"/>
      <c r="F319" s="122"/>
      <c r="G319" s="122"/>
      <c r="H319" s="122"/>
      <c r="I319" s="122"/>
      <c r="J319" s="173"/>
      <c r="K319" s="181"/>
      <c r="L319" s="122"/>
      <c r="M319" s="122"/>
      <c r="N319" s="122"/>
      <c r="O319" s="122"/>
      <c r="P319" s="122"/>
      <c r="Q319" s="122"/>
      <c r="R319" s="122"/>
      <c r="S319" s="122"/>
      <c r="T319" s="122"/>
      <c r="U319" s="122"/>
      <c r="V319" s="122"/>
      <c r="W319" s="122"/>
      <c r="X319" s="122"/>
      <c r="Y319" s="122"/>
    </row>
    <row r="320" spans="1:25" ht="15.75" customHeight="1" x14ac:dyDescent="0.2">
      <c r="A320" s="181"/>
      <c r="B320" s="174"/>
      <c r="C320" s="175"/>
      <c r="D320" s="175"/>
      <c r="E320" s="175"/>
      <c r="F320" s="122"/>
      <c r="G320" s="122"/>
      <c r="H320" s="122"/>
      <c r="I320" s="122"/>
      <c r="J320" s="173"/>
      <c r="K320" s="181"/>
      <c r="L320" s="122"/>
      <c r="M320" s="122"/>
      <c r="N320" s="122"/>
      <c r="O320" s="122"/>
      <c r="P320" s="122"/>
      <c r="Q320" s="122"/>
      <c r="R320" s="122"/>
      <c r="S320" s="122"/>
      <c r="T320" s="122"/>
      <c r="U320" s="122"/>
      <c r="V320" s="122"/>
      <c r="W320" s="122"/>
      <c r="X320" s="122"/>
      <c r="Y320" s="122"/>
    </row>
    <row r="321" spans="1:25" ht="15.75" customHeight="1" x14ac:dyDescent="0.2">
      <c r="A321" s="181"/>
      <c r="B321" s="174"/>
      <c r="C321" s="175"/>
      <c r="D321" s="175"/>
      <c r="E321" s="175"/>
      <c r="F321" s="122"/>
      <c r="G321" s="122"/>
      <c r="H321" s="122"/>
      <c r="I321" s="122"/>
      <c r="J321" s="173"/>
      <c r="K321" s="181"/>
      <c r="L321" s="122"/>
      <c r="M321" s="122"/>
      <c r="N321" s="122"/>
      <c r="O321" s="122"/>
      <c r="P321" s="122"/>
      <c r="Q321" s="122"/>
      <c r="R321" s="122"/>
      <c r="S321" s="122"/>
      <c r="T321" s="122"/>
      <c r="U321" s="122"/>
      <c r="V321" s="122"/>
      <c r="W321" s="122"/>
      <c r="X321" s="122"/>
      <c r="Y321" s="122"/>
    </row>
    <row r="322" spans="1:25" ht="15.75" customHeight="1" x14ac:dyDescent="0.2">
      <c r="A322" s="181"/>
      <c r="B322" s="174"/>
      <c r="C322" s="175"/>
      <c r="D322" s="175"/>
      <c r="E322" s="175"/>
      <c r="F322" s="122"/>
      <c r="G322" s="122"/>
      <c r="H322" s="122"/>
      <c r="I322" s="122"/>
      <c r="J322" s="173"/>
      <c r="K322" s="181"/>
      <c r="L322" s="122"/>
      <c r="M322" s="122"/>
      <c r="N322" s="122"/>
      <c r="O322" s="122"/>
      <c r="P322" s="122"/>
      <c r="Q322" s="122"/>
      <c r="R322" s="122"/>
      <c r="S322" s="122"/>
      <c r="T322" s="122"/>
      <c r="U322" s="122"/>
      <c r="V322" s="122"/>
      <c r="W322" s="122"/>
      <c r="X322" s="122"/>
      <c r="Y322" s="122"/>
    </row>
    <row r="323" spans="1:25" ht="15.75" customHeight="1" x14ac:dyDescent="0.2">
      <c r="A323" s="181"/>
      <c r="B323" s="174"/>
      <c r="C323" s="175"/>
      <c r="D323" s="175"/>
      <c r="E323" s="175"/>
      <c r="F323" s="122"/>
      <c r="G323" s="122"/>
      <c r="H323" s="122"/>
      <c r="I323" s="122"/>
      <c r="J323" s="173"/>
      <c r="K323" s="181"/>
      <c r="L323" s="122"/>
      <c r="M323" s="122"/>
      <c r="N323" s="122"/>
      <c r="O323" s="122"/>
      <c r="P323" s="122"/>
      <c r="Q323" s="122"/>
      <c r="R323" s="122"/>
      <c r="S323" s="122"/>
      <c r="T323" s="122"/>
      <c r="U323" s="122"/>
      <c r="V323" s="122"/>
      <c r="W323" s="122"/>
      <c r="X323" s="122"/>
      <c r="Y323" s="122"/>
    </row>
    <row r="324" spans="1:25" ht="15.75" customHeight="1" x14ac:dyDescent="0.2">
      <c r="A324" s="181"/>
      <c r="B324" s="174"/>
      <c r="C324" s="175"/>
      <c r="D324" s="175"/>
      <c r="E324" s="175"/>
      <c r="F324" s="122"/>
      <c r="G324" s="122"/>
      <c r="H324" s="122"/>
      <c r="I324" s="122"/>
      <c r="J324" s="173"/>
      <c r="K324" s="181"/>
      <c r="L324" s="122"/>
      <c r="M324" s="122"/>
      <c r="N324" s="122"/>
      <c r="O324" s="122"/>
      <c r="P324" s="122"/>
      <c r="Q324" s="122"/>
      <c r="R324" s="122"/>
      <c r="S324" s="122"/>
      <c r="T324" s="122"/>
      <c r="U324" s="122"/>
      <c r="V324" s="122"/>
      <c r="W324" s="122"/>
      <c r="X324" s="122"/>
      <c r="Y324" s="122"/>
    </row>
    <row r="325" spans="1:25" ht="15.75" customHeight="1" x14ac:dyDescent="0.2">
      <c r="A325" s="181"/>
      <c r="B325" s="174"/>
      <c r="C325" s="175"/>
      <c r="D325" s="175"/>
      <c r="E325" s="175"/>
      <c r="F325" s="122"/>
      <c r="G325" s="122"/>
      <c r="H325" s="122"/>
      <c r="I325" s="122"/>
      <c r="J325" s="173"/>
      <c r="K325" s="181"/>
      <c r="L325" s="122"/>
      <c r="M325" s="122"/>
      <c r="N325" s="122"/>
      <c r="O325" s="122"/>
      <c r="P325" s="122"/>
      <c r="Q325" s="122"/>
      <c r="R325" s="122"/>
      <c r="S325" s="122"/>
      <c r="T325" s="122"/>
      <c r="U325" s="122"/>
      <c r="V325" s="122"/>
      <c r="W325" s="122"/>
      <c r="X325" s="122"/>
      <c r="Y325" s="122"/>
    </row>
    <row r="326" spans="1:25" ht="15.75" customHeight="1" x14ac:dyDescent="0.2">
      <c r="A326" s="181"/>
      <c r="B326" s="174"/>
      <c r="C326" s="175"/>
      <c r="D326" s="175"/>
      <c r="E326" s="175"/>
      <c r="F326" s="122"/>
      <c r="G326" s="122"/>
      <c r="H326" s="122"/>
      <c r="I326" s="122"/>
      <c r="J326" s="173"/>
      <c r="K326" s="181"/>
      <c r="L326" s="122"/>
      <c r="M326" s="122"/>
      <c r="N326" s="122"/>
      <c r="O326" s="122"/>
      <c r="P326" s="122"/>
      <c r="Q326" s="122"/>
      <c r="R326" s="122"/>
      <c r="S326" s="122"/>
      <c r="T326" s="122"/>
      <c r="U326" s="122"/>
      <c r="V326" s="122"/>
      <c r="W326" s="122"/>
      <c r="X326" s="122"/>
      <c r="Y326" s="122"/>
    </row>
    <row r="327" spans="1:25" ht="15.75" customHeight="1" x14ac:dyDescent="0.2">
      <c r="A327" s="181"/>
      <c r="B327" s="174"/>
      <c r="C327" s="175"/>
      <c r="D327" s="175"/>
      <c r="E327" s="175"/>
      <c r="F327" s="122"/>
      <c r="G327" s="122"/>
      <c r="H327" s="122"/>
      <c r="I327" s="122"/>
      <c r="J327" s="173"/>
      <c r="K327" s="181"/>
      <c r="L327" s="122"/>
      <c r="M327" s="122"/>
      <c r="N327" s="122"/>
      <c r="O327" s="122"/>
      <c r="P327" s="122"/>
      <c r="Q327" s="122"/>
      <c r="R327" s="122"/>
      <c r="S327" s="122"/>
      <c r="T327" s="122"/>
      <c r="U327" s="122"/>
      <c r="V327" s="122"/>
      <c r="W327" s="122"/>
      <c r="X327" s="122"/>
      <c r="Y327" s="122"/>
    </row>
    <row r="328" spans="1:25" ht="15.75" customHeight="1" x14ac:dyDescent="0.2">
      <c r="A328" s="181"/>
      <c r="B328" s="174"/>
      <c r="C328" s="175"/>
      <c r="D328" s="175"/>
      <c r="E328" s="175"/>
      <c r="F328" s="122"/>
      <c r="G328" s="122"/>
      <c r="H328" s="122"/>
      <c r="I328" s="122"/>
      <c r="J328" s="173"/>
      <c r="K328" s="181"/>
      <c r="L328" s="122"/>
      <c r="M328" s="122"/>
      <c r="N328" s="122"/>
      <c r="O328" s="122"/>
      <c r="P328" s="122"/>
      <c r="Q328" s="122"/>
      <c r="R328" s="122"/>
      <c r="S328" s="122"/>
      <c r="T328" s="122"/>
      <c r="U328" s="122"/>
      <c r="V328" s="122"/>
      <c r="W328" s="122"/>
      <c r="X328" s="122"/>
      <c r="Y328" s="122"/>
    </row>
    <row r="329" spans="1:25" ht="15.75" customHeight="1" x14ac:dyDescent="0.2">
      <c r="A329" s="181"/>
      <c r="B329" s="174"/>
      <c r="C329" s="175"/>
      <c r="D329" s="175"/>
      <c r="E329" s="175"/>
      <c r="F329" s="122"/>
      <c r="G329" s="122"/>
      <c r="H329" s="122"/>
      <c r="I329" s="122"/>
      <c r="J329" s="173"/>
      <c r="K329" s="181"/>
      <c r="L329" s="122"/>
      <c r="M329" s="122"/>
      <c r="N329" s="122"/>
      <c r="O329" s="122"/>
      <c r="P329" s="122"/>
      <c r="Q329" s="122"/>
      <c r="R329" s="122"/>
      <c r="S329" s="122"/>
      <c r="T329" s="122"/>
      <c r="U329" s="122"/>
      <c r="V329" s="122"/>
      <c r="W329" s="122"/>
      <c r="X329" s="122"/>
      <c r="Y329" s="122"/>
    </row>
    <row r="330" spans="1:25" ht="15.75" customHeight="1" x14ac:dyDescent="0.2">
      <c r="A330" s="181"/>
      <c r="B330" s="174"/>
      <c r="C330" s="175"/>
      <c r="D330" s="175"/>
      <c r="E330" s="175"/>
      <c r="F330" s="122"/>
      <c r="G330" s="122"/>
      <c r="H330" s="122"/>
      <c r="I330" s="122"/>
      <c r="J330" s="173"/>
      <c r="K330" s="181"/>
      <c r="L330" s="122"/>
      <c r="M330" s="122"/>
      <c r="N330" s="122"/>
      <c r="O330" s="122"/>
      <c r="P330" s="122"/>
      <c r="Q330" s="122"/>
      <c r="R330" s="122"/>
      <c r="S330" s="122"/>
      <c r="T330" s="122"/>
      <c r="U330" s="122"/>
      <c r="V330" s="122"/>
      <c r="W330" s="122"/>
      <c r="X330" s="122"/>
      <c r="Y330" s="122"/>
    </row>
    <row r="331" spans="1:25" ht="15.75" customHeight="1" x14ac:dyDescent="0.2">
      <c r="A331" s="181"/>
      <c r="B331" s="174"/>
      <c r="C331" s="175"/>
      <c r="D331" s="175"/>
      <c r="E331" s="175"/>
      <c r="F331" s="122"/>
      <c r="G331" s="122"/>
      <c r="H331" s="122"/>
      <c r="I331" s="122"/>
      <c r="J331" s="173"/>
      <c r="K331" s="181"/>
      <c r="L331" s="122"/>
      <c r="M331" s="122"/>
      <c r="N331" s="122"/>
      <c r="O331" s="122"/>
      <c r="P331" s="122"/>
      <c r="Q331" s="122"/>
      <c r="R331" s="122"/>
      <c r="S331" s="122"/>
      <c r="T331" s="122"/>
      <c r="U331" s="122"/>
      <c r="V331" s="122"/>
      <c r="W331" s="122"/>
      <c r="X331" s="122"/>
      <c r="Y331" s="122"/>
    </row>
    <row r="332" spans="1:25" ht="15.75" customHeight="1" x14ac:dyDescent="0.2">
      <c r="A332" s="181"/>
      <c r="B332" s="174"/>
      <c r="C332" s="175"/>
      <c r="D332" s="175"/>
      <c r="E332" s="175"/>
      <c r="F332" s="122"/>
      <c r="G332" s="122"/>
      <c r="H332" s="122"/>
      <c r="I332" s="122"/>
      <c r="J332" s="173"/>
      <c r="K332" s="181"/>
      <c r="L332" s="122"/>
      <c r="M332" s="122"/>
      <c r="N332" s="122"/>
      <c r="O332" s="122"/>
      <c r="P332" s="122"/>
      <c r="Q332" s="122"/>
      <c r="R332" s="122"/>
      <c r="S332" s="122"/>
      <c r="T332" s="122"/>
      <c r="U332" s="122"/>
      <c r="V332" s="122"/>
      <c r="W332" s="122"/>
      <c r="X332" s="122"/>
      <c r="Y332" s="122"/>
    </row>
    <row r="333" spans="1:25" ht="15.75" customHeight="1" x14ac:dyDescent="0.2">
      <c r="A333" s="181"/>
      <c r="B333" s="174"/>
      <c r="C333" s="175"/>
      <c r="D333" s="175"/>
      <c r="E333" s="175"/>
      <c r="F333" s="122"/>
      <c r="G333" s="122"/>
      <c r="H333" s="122"/>
      <c r="I333" s="122"/>
      <c r="J333" s="173"/>
      <c r="K333" s="181"/>
      <c r="L333" s="122"/>
      <c r="M333" s="122"/>
      <c r="N333" s="122"/>
      <c r="O333" s="122"/>
      <c r="P333" s="122"/>
      <c r="Q333" s="122"/>
      <c r="R333" s="122"/>
      <c r="S333" s="122"/>
      <c r="T333" s="122"/>
      <c r="U333" s="122"/>
      <c r="V333" s="122"/>
      <c r="W333" s="122"/>
      <c r="X333" s="122"/>
      <c r="Y333" s="122"/>
    </row>
    <row r="334" spans="1:25" ht="15.75" customHeight="1" x14ac:dyDescent="0.2">
      <c r="A334" s="181"/>
      <c r="B334" s="174"/>
      <c r="C334" s="175"/>
      <c r="D334" s="175"/>
      <c r="E334" s="175"/>
      <c r="F334" s="122"/>
      <c r="G334" s="122"/>
      <c r="H334" s="122"/>
      <c r="I334" s="122"/>
      <c r="J334" s="173"/>
      <c r="K334" s="181"/>
      <c r="L334" s="122"/>
      <c r="M334" s="122"/>
      <c r="N334" s="122"/>
      <c r="O334" s="122"/>
      <c r="P334" s="122"/>
      <c r="Q334" s="122"/>
      <c r="R334" s="122"/>
      <c r="S334" s="122"/>
      <c r="T334" s="122"/>
      <c r="U334" s="122"/>
      <c r="V334" s="122"/>
      <c r="W334" s="122"/>
      <c r="X334" s="122"/>
      <c r="Y334" s="122"/>
    </row>
    <row r="335" spans="1:25" ht="15.75" customHeight="1" x14ac:dyDescent="0.2">
      <c r="A335" s="181"/>
      <c r="B335" s="174"/>
      <c r="C335" s="175"/>
      <c r="D335" s="175"/>
      <c r="E335" s="175"/>
      <c r="F335" s="122"/>
      <c r="G335" s="122"/>
      <c r="H335" s="122"/>
      <c r="I335" s="122"/>
      <c r="J335" s="173"/>
      <c r="K335" s="181"/>
      <c r="L335" s="122"/>
      <c r="M335" s="122"/>
      <c r="N335" s="122"/>
      <c r="O335" s="122"/>
      <c r="P335" s="122"/>
      <c r="Q335" s="122"/>
      <c r="R335" s="122"/>
      <c r="S335" s="122"/>
      <c r="T335" s="122"/>
      <c r="U335" s="122"/>
      <c r="V335" s="122"/>
      <c r="W335" s="122"/>
      <c r="X335" s="122"/>
      <c r="Y335" s="122"/>
    </row>
    <row r="336" spans="1:25" ht="15.75" customHeight="1" x14ac:dyDescent="0.2">
      <c r="A336" s="181"/>
      <c r="B336" s="174"/>
      <c r="C336" s="175"/>
      <c r="D336" s="175"/>
      <c r="E336" s="175"/>
      <c r="F336" s="122"/>
      <c r="G336" s="122"/>
      <c r="H336" s="122"/>
      <c r="I336" s="122"/>
      <c r="J336" s="173"/>
      <c r="K336" s="181"/>
      <c r="L336" s="122"/>
      <c r="M336" s="122"/>
      <c r="N336" s="122"/>
      <c r="O336" s="122"/>
      <c r="P336" s="122"/>
      <c r="Q336" s="122"/>
      <c r="R336" s="122"/>
      <c r="S336" s="122"/>
      <c r="T336" s="122"/>
      <c r="U336" s="122"/>
      <c r="V336" s="122"/>
      <c r="W336" s="122"/>
      <c r="X336" s="122"/>
      <c r="Y336" s="122"/>
    </row>
    <row r="337" spans="1:25" ht="15.75" customHeight="1" x14ac:dyDescent="0.2">
      <c r="A337" s="181"/>
      <c r="B337" s="174"/>
      <c r="C337" s="175"/>
      <c r="D337" s="175"/>
      <c r="E337" s="175"/>
      <c r="F337" s="122"/>
      <c r="G337" s="122"/>
      <c r="H337" s="122"/>
      <c r="I337" s="122"/>
      <c r="J337" s="173"/>
      <c r="K337" s="181"/>
      <c r="L337" s="122"/>
      <c r="M337" s="122"/>
      <c r="N337" s="122"/>
      <c r="O337" s="122"/>
      <c r="P337" s="122"/>
      <c r="Q337" s="122"/>
      <c r="R337" s="122"/>
      <c r="S337" s="122"/>
      <c r="T337" s="122"/>
      <c r="U337" s="122"/>
      <c r="V337" s="122"/>
      <c r="W337" s="122"/>
      <c r="X337" s="122"/>
      <c r="Y337" s="122"/>
    </row>
    <row r="338" spans="1:25" ht="15.75" customHeight="1" x14ac:dyDescent="0.2">
      <c r="A338" s="181"/>
      <c r="B338" s="174"/>
      <c r="C338" s="175"/>
      <c r="D338" s="175"/>
      <c r="E338" s="175"/>
      <c r="F338" s="122"/>
      <c r="G338" s="122"/>
      <c r="H338" s="122"/>
      <c r="I338" s="122"/>
      <c r="J338" s="173"/>
      <c r="K338" s="181"/>
      <c r="L338" s="122"/>
      <c r="M338" s="122"/>
      <c r="N338" s="122"/>
      <c r="O338" s="122"/>
      <c r="P338" s="122"/>
      <c r="Q338" s="122"/>
      <c r="R338" s="122"/>
      <c r="S338" s="122"/>
      <c r="T338" s="122"/>
      <c r="U338" s="122"/>
      <c r="V338" s="122"/>
      <c r="W338" s="122"/>
      <c r="X338" s="122"/>
      <c r="Y338" s="122"/>
    </row>
    <row r="339" spans="1:25" ht="15.75" customHeight="1" x14ac:dyDescent="0.2">
      <c r="A339" s="181"/>
      <c r="B339" s="174"/>
      <c r="C339" s="175"/>
      <c r="D339" s="175"/>
      <c r="E339" s="175"/>
      <c r="F339" s="122"/>
      <c r="G339" s="122"/>
      <c r="H339" s="122"/>
      <c r="I339" s="122"/>
      <c r="J339" s="173"/>
      <c r="K339" s="181"/>
      <c r="L339" s="122"/>
      <c r="M339" s="122"/>
      <c r="N339" s="122"/>
      <c r="O339" s="122"/>
      <c r="P339" s="122"/>
      <c r="Q339" s="122"/>
      <c r="R339" s="122"/>
      <c r="S339" s="122"/>
      <c r="T339" s="122"/>
      <c r="U339" s="122"/>
      <c r="V339" s="122"/>
      <c r="W339" s="122"/>
      <c r="X339" s="122"/>
      <c r="Y339" s="122"/>
    </row>
    <row r="340" spans="1:25" ht="15.75" customHeight="1" x14ac:dyDescent="0.2">
      <c r="A340" s="181"/>
      <c r="B340" s="174"/>
      <c r="C340" s="175"/>
      <c r="D340" s="175"/>
      <c r="E340" s="175"/>
      <c r="F340" s="122"/>
      <c r="G340" s="122"/>
      <c r="H340" s="122"/>
      <c r="I340" s="122"/>
      <c r="J340" s="173"/>
      <c r="K340" s="181"/>
      <c r="L340" s="122"/>
      <c r="M340" s="122"/>
      <c r="N340" s="122"/>
      <c r="O340" s="122"/>
      <c r="P340" s="122"/>
      <c r="Q340" s="122"/>
      <c r="R340" s="122"/>
      <c r="S340" s="122"/>
      <c r="T340" s="122"/>
      <c r="U340" s="122"/>
      <c r="V340" s="122"/>
      <c r="W340" s="122"/>
      <c r="X340" s="122"/>
      <c r="Y340" s="122"/>
    </row>
    <row r="341" spans="1:25" ht="15.75" customHeight="1" x14ac:dyDescent="0.2">
      <c r="A341" s="181"/>
      <c r="B341" s="174"/>
      <c r="C341" s="175"/>
      <c r="D341" s="175"/>
      <c r="E341" s="175"/>
      <c r="F341" s="122"/>
      <c r="G341" s="122"/>
      <c r="H341" s="122"/>
      <c r="I341" s="122"/>
      <c r="J341" s="173"/>
      <c r="K341" s="181"/>
      <c r="L341" s="122"/>
      <c r="M341" s="122"/>
      <c r="N341" s="122"/>
      <c r="O341" s="122"/>
      <c r="P341" s="122"/>
      <c r="Q341" s="122"/>
      <c r="R341" s="122"/>
      <c r="S341" s="122"/>
      <c r="T341" s="122"/>
      <c r="U341" s="122"/>
      <c r="V341" s="122"/>
      <c r="W341" s="122"/>
      <c r="X341" s="122"/>
      <c r="Y341" s="122"/>
    </row>
    <row r="342" spans="1:25" ht="15.75" customHeight="1" x14ac:dyDescent="0.2">
      <c r="A342" s="181"/>
      <c r="B342" s="174"/>
      <c r="C342" s="175"/>
      <c r="D342" s="175"/>
      <c r="E342" s="175"/>
      <c r="F342" s="122"/>
      <c r="G342" s="122"/>
      <c r="H342" s="122"/>
      <c r="I342" s="122"/>
      <c r="J342" s="173"/>
      <c r="K342" s="181"/>
      <c r="L342" s="122"/>
      <c r="M342" s="122"/>
      <c r="N342" s="122"/>
      <c r="O342" s="122"/>
      <c r="P342" s="122"/>
      <c r="Q342" s="122"/>
      <c r="R342" s="122"/>
      <c r="S342" s="122"/>
      <c r="T342" s="122"/>
      <c r="U342" s="122"/>
      <c r="V342" s="122"/>
      <c r="W342" s="122"/>
      <c r="X342" s="122"/>
      <c r="Y342" s="122"/>
    </row>
    <row r="343" spans="1:25" ht="15.75" customHeight="1" x14ac:dyDescent="0.2">
      <c r="A343" s="181"/>
      <c r="B343" s="174"/>
      <c r="C343" s="175"/>
      <c r="D343" s="175"/>
      <c r="E343" s="175"/>
      <c r="F343" s="122"/>
      <c r="G343" s="122"/>
      <c r="H343" s="122"/>
      <c r="I343" s="122"/>
      <c r="J343" s="173"/>
      <c r="K343" s="181"/>
      <c r="L343" s="122"/>
      <c r="M343" s="122"/>
      <c r="N343" s="122"/>
      <c r="O343" s="122"/>
      <c r="P343" s="122"/>
      <c r="Q343" s="122"/>
      <c r="R343" s="122"/>
      <c r="S343" s="122"/>
      <c r="T343" s="122"/>
      <c r="U343" s="122"/>
      <c r="V343" s="122"/>
      <c r="W343" s="122"/>
      <c r="X343" s="122"/>
      <c r="Y343" s="122"/>
    </row>
    <row r="344" spans="1:25" ht="15.75" customHeight="1" x14ac:dyDescent="0.2">
      <c r="A344" s="181"/>
      <c r="B344" s="174"/>
      <c r="C344" s="175"/>
      <c r="D344" s="175"/>
      <c r="E344" s="175"/>
      <c r="F344" s="122"/>
      <c r="G344" s="122"/>
      <c r="H344" s="122"/>
      <c r="I344" s="122"/>
      <c r="J344" s="173"/>
      <c r="K344" s="181"/>
      <c r="L344" s="122"/>
      <c r="M344" s="122"/>
      <c r="N344" s="122"/>
      <c r="O344" s="122"/>
      <c r="P344" s="122"/>
      <c r="Q344" s="122"/>
      <c r="R344" s="122"/>
      <c r="S344" s="122"/>
      <c r="T344" s="122"/>
      <c r="U344" s="122"/>
      <c r="V344" s="122"/>
      <c r="W344" s="122"/>
      <c r="X344" s="122"/>
      <c r="Y344" s="122"/>
    </row>
    <row r="345" spans="1:25" ht="15.75" customHeight="1" x14ac:dyDescent="0.2">
      <c r="A345" s="181"/>
      <c r="B345" s="174"/>
      <c r="C345" s="175"/>
      <c r="D345" s="175"/>
      <c r="E345" s="175"/>
      <c r="F345" s="122"/>
      <c r="G345" s="122"/>
      <c r="H345" s="122"/>
      <c r="I345" s="122"/>
      <c r="J345" s="173"/>
      <c r="K345" s="181"/>
      <c r="L345" s="122"/>
      <c r="M345" s="122"/>
      <c r="N345" s="122"/>
      <c r="O345" s="122"/>
      <c r="P345" s="122"/>
      <c r="Q345" s="122"/>
      <c r="R345" s="122"/>
      <c r="S345" s="122"/>
      <c r="T345" s="122"/>
      <c r="U345" s="122"/>
      <c r="V345" s="122"/>
      <c r="W345" s="122"/>
      <c r="X345" s="122"/>
      <c r="Y345" s="122"/>
    </row>
    <row r="346" spans="1:25" ht="15.75" customHeight="1" x14ac:dyDescent="0.2">
      <c r="A346" s="181"/>
      <c r="B346" s="174"/>
      <c r="C346" s="175"/>
      <c r="D346" s="175"/>
      <c r="E346" s="175"/>
      <c r="F346" s="122"/>
      <c r="G346" s="122"/>
      <c r="H346" s="122"/>
      <c r="I346" s="122"/>
      <c r="J346" s="173"/>
      <c r="K346" s="181"/>
      <c r="L346" s="122"/>
      <c r="M346" s="122"/>
      <c r="N346" s="122"/>
      <c r="O346" s="122"/>
      <c r="P346" s="122"/>
      <c r="Q346" s="122"/>
      <c r="R346" s="122"/>
      <c r="S346" s="122"/>
      <c r="T346" s="122"/>
      <c r="U346" s="122"/>
      <c r="V346" s="122"/>
      <c r="W346" s="122"/>
      <c r="X346" s="122"/>
      <c r="Y346" s="122"/>
    </row>
    <row r="347" spans="1:25" ht="15.75" customHeight="1" x14ac:dyDescent="0.2">
      <c r="A347" s="181"/>
      <c r="B347" s="174"/>
      <c r="C347" s="175"/>
      <c r="D347" s="175"/>
      <c r="E347" s="175"/>
      <c r="F347" s="122"/>
      <c r="G347" s="122"/>
      <c r="H347" s="122"/>
      <c r="I347" s="122"/>
      <c r="J347" s="173"/>
      <c r="K347" s="181"/>
      <c r="L347" s="122"/>
      <c r="M347" s="122"/>
      <c r="N347" s="122"/>
      <c r="O347" s="122"/>
      <c r="P347" s="122"/>
      <c r="Q347" s="122"/>
      <c r="R347" s="122"/>
      <c r="S347" s="122"/>
      <c r="T347" s="122"/>
      <c r="U347" s="122"/>
      <c r="V347" s="122"/>
      <c r="W347" s="122"/>
      <c r="X347" s="122"/>
      <c r="Y347" s="122"/>
    </row>
    <row r="348" spans="1:25" ht="15.75" customHeight="1" x14ac:dyDescent="0.2">
      <c r="A348" s="181"/>
      <c r="B348" s="174"/>
      <c r="C348" s="175"/>
      <c r="D348" s="175"/>
      <c r="E348" s="175"/>
      <c r="F348" s="122"/>
      <c r="G348" s="122"/>
      <c r="H348" s="122"/>
      <c r="I348" s="122"/>
      <c r="J348" s="173"/>
      <c r="K348" s="181"/>
      <c r="L348" s="122"/>
      <c r="M348" s="122"/>
      <c r="N348" s="122"/>
      <c r="O348" s="122"/>
      <c r="P348" s="122"/>
      <c r="Q348" s="122"/>
      <c r="R348" s="122"/>
      <c r="S348" s="122"/>
      <c r="T348" s="122"/>
      <c r="U348" s="122"/>
      <c r="V348" s="122"/>
      <c r="W348" s="122"/>
      <c r="X348" s="122"/>
      <c r="Y348" s="122"/>
    </row>
    <row r="349" spans="1:25" ht="15.75" customHeight="1" x14ac:dyDescent="0.2">
      <c r="A349" s="181"/>
      <c r="B349" s="174"/>
      <c r="C349" s="175"/>
      <c r="D349" s="175"/>
      <c r="E349" s="175"/>
      <c r="F349" s="122"/>
      <c r="G349" s="122"/>
      <c r="H349" s="122"/>
      <c r="I349" s="122"/>
      <c r="J349" s="173"/>
      <c r="K349" s="181"/>
      <c r="L349" s="122"/>
      <c r="M349" s="122"/>
      <c r="N349" s="122"/>
      <c r="O349" s="122"/>
      <c r="P349" s="122"/>
      <c r="Q349" s="122"/>
      <c r="R349" s="122"/>
      <c r="S349" s="122"/>
      <c r="T349" s="122"/>
      <c r="U349" s="122"/>
      <c r="V349" s="122"/>
      <c r="W349" s="122"/>
      <c r="X349" s="122"/>
      <c r="Y349" s="122"/>
    </row>
    <row r="350" spans="1:25" ht="15.75" customHeight="1" x14ac:dyDescent="0.2">
      <c r="A350" s="181"/>
      <c r="B350" s="174"/>
      <c r="C350" s="175"/>
      <c r="D350" s="175"/>
      <c r="E350" s="175"/>
      <c r="F350" s="122"/>
      <c r="G350" s="122"/>
      <c r="H350" s="122"/>
      <c r="I350" s="122"/>
      <c r="J350" s="173"/>
      <c r="K350" s="181"/>
      <c r="L350" s="122"/>
      <c r="M350" s="122"/>
      <c r="N350" s="122"/>
      <c r="O350" s="122"/>
      <c r="P350" s="122"/>
      <c r="Q350" s="122"/>
      <c r="R350" s="122"/>
      <c r="S350" s="122"/>
      <c r="T350" s="122"/>
      <c r="U350" s="122"/>
      <c r="V350" s="122"/>
      <c r="W350" s="122"/>
      <c r="X350" s="122"/>
      <c r="Y350" s="122"/>
    </row>
    <row r="351" spans="1:25" ht="15.75" customHeight="1" x14ac:dyDescent="0.2">
      <c r="A351" s="181"/>
      <c r="B351" s="174"/>
      <c r="C351" s="175"/>
      <c r="D351" s="175"/>
      <c r="E351" s="175"/>
      <c r="F351" s="122"/>
      <c r="G351" s="122"/>
      <c r="H351" s="122"/>
      <c r="I351" s="122"/>
      <c r="J351" s="173"/>
      <c r="K351" s="181"/>
      <c r="L351" s="122"/>
      <c r="M351" s="122"/>
      <c r="N351" s="122"/>
      <c r="O351" s="122"/>
      <c r="P351" s="122"/>
      <c r="Q351" s="122"/>
      <c r="R351" s="122"/>
      <c r="S351" s="122"/>
      <c r="T351" s="122"/>
      <c r="U351" s="122"/>
      <c r="V351" s="122"/>
      <c r="W351" s="122"/>
      <c r="X351" s="122"/>
      <c r="Y351" s="122"/>
    </row>
    <row r="352" spans="1:25" ht="15.75" customHeight="1" x14ac:dyDescent="0.2">
      <c r="A352" s="181"/>
      <c r="B352" s="174"/>
      <c r="C352" s="175"/>
      <c r="D352" s="175"/>
      <c r="E352" s="175"/>
      <c r="F352" s="122"/>
      <c r="G352" s="122"/>
      <c r="H352" s="122"/>
      <c r="I352" s="122"/>
      <c r="J352" s="173"/>
      <c r="K352" s="181"/>
      <c r="L352" s="122"/>
      <c r="M352" s="122"/>
      <c r="N352" s="122"/>
      <c r="O352" s="122"/>
      <c r="P352" s="122"/>
      <c r="Q352" s="122"/>
      <c r="R352" s="122"/>
      <c r="S352" s="122"/>
      <c r="T352" s="122"/>
      <c r="U352" s="122"/>
      <c r="V352" s="122"/>
      <c r="W352" s="122"/>
      <c r="X352" s="122"/>
      <c r="Y352" s="122"/>
    </row>
    <row r="353" spans="1:25" ht="15.75" customHeight="1" x14ac:dyDescent="0.2">
      <c r="A353" s="181"/>
      <c r="B353" s="174"/>
      <c r="C353" s="175"/>
      <c r="D353" s="175"/>
      <c r="E353" s="175"/>
      <c r="F353" s="122"/>
      <c r="G353" s="122"/>
      <c r="H353" s="122"/>
      <c r="I353" s="122"/>
      <c r="J353" s="173"/>
      <c r="K353" s="181"/>
      <c r="L353" s="122"/>
      <c r="M353" s="122"/>
      <c r="N353" s="122"/>
      <c r="O353" s="122"/>
      <c r="P353" s="122"/>
      <c r="Q353" s="122"/>
      <c r="R353" s="122"/>
      <c r="S353" s="122"/>
      <c r="T353" s="122"/>
      <c r="U353" s="122"/>
      <c r="V353" s="122"/>
      <c r="W353" s="122"/>
      <c r="X353" s="122"/>
      <c r="Y353" s="122"/>
    </row>
    <row r="354" spans="1:25" ht="15.75" customHeight="1" x14ac:dyDescent="0.2">
      <c r="A354" s="181"/>
      <c r="B354" s="174"/>
      <c r="C354" s="175"/>
      <c r="D354" s="175"/>
      <c r="E354" s="175"/>
      <c r="F354" s="122"/>
      <c r="G354" s="122"/>
      <c r="H354" s="122"/>
      <c r="I354" s="122"/>
      <c r="J354" s="173"/>
      <c r="K354" s="181"/>
      <c r="L354" s="122"/>
      <c r="M354" s="122"/>
      <c r="N354" s="122"/>
      <c r="O354" s="122"/>
      <c r="P354" s="122"/>
      <c r="Q354" s="122"/>
      <c r="R354" s="122"/>
      <c r="S354" s="122"/>
      <c r="T354" s="122"/>
      <c r="U354" s="122"/>
      <c r="V354" s="122"/>
      <c r="W354" s="122"/>
      <c r="X354" s="122"/>
      <c r="Y354" s="122"/>
    </row>
    <row r="355" spans="1:25" ht="15.75" customHeight="1" x14ac:dyDescent="0.2">
      <c r="A355" s="181"/>
      <c r="B355" s="174"/>
      <c r="C355" s="175"/>
      <c r="D355" s="175"/>
      <c r="E355" s="175"/>
      <c r="F355" s="122"/>
      <c r="G355" s="122"/>
      <c r="H355" s="122"/>
      <c r="I355" s="122"/>
      <c r="J355" s="173"/>
      <c r="K355" s="181"/>
      <c r="L355" s="122"/>
      <c r="M355" s="122"/>
      <c r="N355" s="122"/>
      <c r="O355" s="122"/>
      <c r="P355" s="122"/>
      <c r="Q355" s="122"/>
      <c r="R355" s="122"/>
      <c r="S355" s="122"/>
      <c r="T355" s="122"/>
      <c r="U355" s="122"/>
      <c r="V355" s="122"/>
      <c r="W355" s="122"/>
      <c r="X355" s="122"/>
      <c r="Y355" s="122"/>
    </row>
    <row r="356" spans="1:25" ht="15.75" customHeight="1" x14ac:dyDescent="0.2">
      <c r="A356" s="181"/>
      <c r="B356" s="174"/>
      <c r="C356" s="175"/>
      <c r="D356" s="175"/>
      <c r="E356" s="175"/>
      <c r="F356" s="122"/>
      <c r="G356" s="122"/>
      <c r="H356" s="122"/>
      <c r="I356" s="122"/>
      <c r="J356" s="173"/>
      <c r="K356" s="181"/>
      <c r="L356" s="122"/>
      <c r="M356" s="122"/>
      <c r="N356" s="122"/>
      <c r="O356" s="122"/>
      <c r="P356" s="122"/>
      <c r="Q356" s="122"/>
      <c r="R356" s="122"/>
      <c r="S356" s="122"/>
      <c r="T356" s="122"/>
      <c r="U356" s="122"/>
      <c r="V356" s="122"/>
      <c r="W356" s="122"/>
      <c r="X356" s="122"/>
      <c r="Y356" s="122"/>
    </row>
    <row r="357" spans="1:25" ht="15.75" customHeight="1" x14ac:dyDescent="0.2">
      <c r="A357" s="181"/>
      <c r="B357" s="174"/>
      <c r="C357" s="175"/>
      <c r="D357" s="175"/>
      <c r="E357" s="175"/>
      <c r="F357" s="122"/>
      <c r="G357" s="122"/>
      <c r="H357" s="122"/>
      <c r="I357" s="122"/>
      <c r="J357" s="173"/>
      <c r="K357" s="181"/>
      <c r="L357" s="122"/>
      <c r="M357" s="122"/>
      <c r="N357" s="122"/>
      <c r="O357" s="122"/>
      <c r="P357" s="122"/>
      <c r="Q357" s="122"/>
      <c r="R357" s="122"/>
      <c r="S357" s="122"/>
      <c r="T357" s="122"/>
      <c r="U357" s="122"/>
      <c r="V357" s="122"/>
      <c r="W357" s="122"/>
      <c r="X357" s="122"/>
      <c r="Y357" s="122"/>
    </row>
    <row r="358" spans="1:25" ht="15.75" customHeight="1" x14ac:dyDescent="0.2">
      <c r="A358" s="181"/>
      <c r="B358" s="174"/>
      <c r="C358" s="175"/>
      <c r="D358" s="175"/>
      <c r="E358" s="175"/>
      <c r="F358" s="122"/>
      <c r="G358" s="122"/>
      <c r="H358" s="122"/>
      <c r="I358" s="122"/>
      <c r="J358" s="173"/>
      <c r="K358" s="181"/>
      <c r="L358" s="122"/>
      <c r="M358" s="122"/>
      <c r="N358" s="122"/>
      <c r="O358" s="122"/>
      <c r="P358" s="122"/>
      <c r="Q358" s="122"/>
      <c r="R358" s="122"/>
      <c r="S358" s="122"/>
      <c r="T358" s="122"/>
      <c r="U358" s="122"/>
      <c r="V358" s="122"/>
      <c r="W358" s="122"/>
      <c r="X358" s="122"/>
      <c r="Y358" s="122"/>
    </row>
    <row r="359" spans="1:25" ht="15.75" customHeight="1" x14ac:dyDescent="0.2">
      <c r="A359" s="181"/>
      <c r="B359" s="174"/>
      <c r="C359" s="175"/>
      <c r="D359" s="175"/>
      <c r="E359" s="175"/>
      <c r="F359" s="122"/>
      <c r="G359" s="122"/>
      <c r="H359" s="122"/>
      <c r="I359" s="122"/>
      <c r="J359" s="173"/>
      <c r="K359" s="181"/>
      <c r="L359" s="122"/>
      <c r="M359" s="122"/>
      <c r="N359" s="122"/>
      <c r="O359" s="122"/>
      <c r="P359" s="122"/>
      <c r="Q359" s="122"/>
      <c r="R359" s="122"/>
      <c r="S359" s="122"/>
      <c r="T359" s="122"/>
      <c r="U359" s="122"/>
      <c r="V359" s="122"/>
      <c r="W359" s="122"/>
      <c r="X359" s="122"/>
      <c r="Y359" s="122"/>
    </row>
    <row r="360" spans="1:25" ht="15.75" customHeight="1" x14ac:dyDescent="0.2">
      <c r="A360" s="181"/>
      <c r="B360" s="174"/>
      <c r="C360" s="175"/>
      <c r="D360" s="175"/>
      <c r="E360" s="175"/>
      <c r="F360" s="122"/>
      <c r="G360" s="122"/>
      <c r="H360" s="122"/>
      <c r="I360" s="122"/>
      <c r="J360" s="173"/>
      <c r="K360" s="181"/>
      <c r="L360" s="122"/>
      <c r="M360" s="122"/>
      <c r="N360" s="122"/>
      <c r="O360" s="122"/>
      <c r="P360" s="122"/>
      <c r="Q360" s="122"/>
      <c r="R360" s="122"/>
      <c r="S360" s="122"/>
      <c r="T360" s="122"/>
      <c r="U360" s="122"/>
      <c r="V360" s="122"/>
      <c r="W360" s="122"/>
      <c r="X360" s="122"/>
      <c r="Y360" s="122"/>
    </row>
    <row r="361" spans="1:25" ht="15.75" customHeight="1" x14ac:dyDescent="0.2">
      <c r="A361" s="181"/>
      <c r="B361" s="174"/>
      <c r="C361" s="175"/>
      <c r="D361" s="175"/>
      <c r="E361" s="175"/>
      <c r="F361" s="122"/>
      <c r="G361" s="122"/>
      <c r="H361" s="122"/>
      <c r="I361" s="122"/>
      <c r="J361" s="173"/>
      <c r="K361" s="181"/>
      <c r="L361" s="122"/>
      <c r="M361" s="122"/>
      <c r="N361" s="122"/>
      <c r="O361" s="122"/>
      <c r="P361" s="122"/>
      <c r="Q361" s="122"/>
      <c r="R361" s="122"/>
      <c r="S361" s="122"/>
      <c r="T361" s="122"/>
      <c r="U361" s="122"/>
      <c r="V361" s="122"/>
      <c r="W361" s="122"/>
      <c r="X361" s="122"/>
      <c r="Y361" s="122"/>
    </row>
    <row r="362" spans="1:25" ht="15.75" customHeight="1" x14ac:dyDescent="0.2">
      <c r="A362" s="181"/>
      <c r="B362" s="174"/>
      <c r="C362" s="175"/>
      <c r="D362" s="175"/>
      <c r="E362" s="175"/>
      <c r="F362" s="122"/>
      <c r="G362" s="122"/>
      <c r="H362" s="122"/>
      <c r="I362" s="122"/>
      <c r="J362" s="173"/>
      <c r="K362" s="181"/>
      <c r="L362" s="122"/>
      <c r="M362" s="122"/>
      <c r="N362" s="122"/>
      <c r="O362" s="122"/>
      <c r="P362" s="122"/>
      <c r="Q362" s="122"/>
      <c r="R362" s="122"/>
      <c r="S362" s="122"/>
      <c r="T362" s="122"/>
      <c r="U362" s="122"/>
      <c r="V362" s="122"/>
      <c r="W362" s="122"/>
      <c r="X362" s="122"/>
      <c r="Y362" s="122"/>
    </row>
    <row r="363" spans="1:25" ht="15.75" customHeight="1" x14ac:dyDescent="0.2">
      <c r="A363" s="181"/>
      <c r="B363" s="174"/>
      <c r="C363" s="175"/>
      <c r="D363" s="175"/>
      <c r="E363" s="175"/>
      <c r="F363" s="122"/>
      <c r="G363" s="122"/>
      <c r="H363" s="122"/>
      <c r="I363" s="122"/>
      <c r="J363" s="173"/>
      <c r="K363" s="181"/>
      <c r="L363" s="122"/>
      <c r="M363" s="122"/>
      <c r="N363" s="122"/>
      <c r="O363" s="122"/>
      <c r="P363" s="122"/>
      <c r="Q363" s="122"/>
      <c r="R363" s="122"/>
      <c r="S363" s="122"/>
      <c r="T363" s="122"/>
      <c r="U363" s="122"/>
      <c r="V363" s="122"/>
      <c r="W363" s="122"/>
      <c r="X363" s="122"/>
      <c r="Y363" s="122"/>
    </row>
    <row r="364" spans="1:25" ht="15.75" customHeight="1" x14ac:dyDescent="0.2">
      <c r="A364" s="181"/>
      <c r="B364" s="174"/>
      <c r="C364" s="175"/>
      <c r="D364" s="175"/>
      <c r="E364" s="175"/>
      <c r="F364" s="122"/>
      <c r="G364" s="122"/>
      <c r="H364" s="122"/>
      <c r="I364" s="122"/>
      <c r="J364" s="173"/>
      <c r="K364" s="181"/>
      <c r="L364" s="122"/>
      <c r="M364" s="122"/>
      <c r="N364" s="122"/>
      <c r="O364" s="122"/>
      <c r="P364" s="122"/>
      <c r="Q364" s="122"/>
      <c r="R364" s="122"/>
      <c r="S364" s="122"/>
      <c r="T364" s="122"/>
      <c r="U364" s="122"/>
      <c r="V364" s="122"/>
      <c r="W364" s="122"/>
      <c r="X364" s="122"/>
      <c r="Y364" s="122"/>
    </row>
    <row r="365" spans="1:25" ht="15.75" customHeight="1" x14ac:dyDescent="0.2">
      <c r="A365" s="181"/>
      <c r="B365" s="174"/>
      <c r="C365" s="175"/>
      <c r="D365" s="175"/>
      <c r="E365" s="175"/>
      <c r="F365" s="122"/>
      <c r="G365" s="122"/>
      <c r="H365" s="122"/>
      <c r="I365" s="122"/>
      <c r="J365" s="173"/>
      <c r="K365" s="181"/>
      <c r="L365" s="122"/>
      <c r="M365" s="122"/>
      <c r="N365" s="122"/>
      <c r="O365" s="122"/>
      <c r="P365" s="122"/>
      <c r="Q365" s="122"/>
      <c r="R365" s="122"/>
      <c r="S365" s="122"/>
      <c r="T365" s="122"/>
      <c r="U365" s="122"/>
      <c r="V365" s="122"/>
      <c r="W365" s="122"/>
      <c r="X365" s="122"/>
      <c r="Y365" s="122"/>
    </row>
    <row r="366" spans="1:25" ht="15.75" customHeight="1" x14ac:dyDescent="0.2">
      <c r="A366" s="181"/>
      <c r="B366" s="174"/>
      <c r="C366" s="175"/>
      <c r="D366" s="175"/>
      <c r="E366" s="175"/>
      <c r="F366" s="122"/>
      <c r="G366" s="122"/>
      <c r="H366" s="122"/>
      <c r="I366" s="122"/>
      <c r="J366" s="173"/>
      <c r="K366" s="181"/>
      <c r="L366" s="122"/>
      <c r="M366" s="122"/>
      <c r="N366" s="122"/>
      <c r="O366" s="122"/>
      <c r="P366" s="122"/>
      <c r="Q366" s="122"/>
      <c r="R366" s="122"/>
      <c r="S366" s="122"/>
      <c r="T366" s="122"/>
      <c r="U366" s="122"/>
      <c r="V366" s="122"/>
      <c r="W366" s="122"/>
      <c r="X366" s="122"/>
      <c r="Y366" s="122"/>
    </row>
    <row r="367" spans="1:25" ht="15.75" customHeight="1" x14ac:dyDescent="0.2">
      <c r="A367" s="181"/>
      <c r="B367" s="174"/>
      <c r="C367" s="175"/>
      <c r="D367" s="175"/>
      <c r="E367" s="175"/>
      <c r="F367" s="122"/>
      <c r="G367" s="122"/>
      <c r="H367" s="122"/>
      <c r="I367" s="122"/>
      <c r="J367" s="173"/>
      <c r="K367" s="181"/>
      <c r="L367" s="122"/>
      <c r="M367" s="122"/>
      <c r="N367" s="122"/>
      <c r="O367" s="122"/>
      <c r="P367" s="122"/>
      <c r="Q367" s="122"/>
      <c r="R367" s="122"/>
      <c r="S367" s="122"/>
      <c r="T367" s="122"/>
      <c r="U367" s="122"/>
      <c r="V367" s="122"/>
      <c r="W367" s="122"/>
      <c r="X367" s="122"/>
      <c r="Y367" s="122"/>
    </row>
    <row r="368" spans="1:25" ht="15.75" customHeight="1" x14ac:dyDescent="0.2">
      <c r="A368" s="181"/>
      <c r="B368" s="174"/>
      <c r="C368" s="175"/>
      <c r="D368" s="175"/>
      <c r="E368" s="175"/>
      <c r="F368" s="122"/>
      <c r="G368" s="122"/>
      <c r="H368" s="122"/>
      <c r="I368" s="122"/>
      <c r="J368" s="173"/>
      <c r="K368" s="181"/>
      <c r="L368" s="122"/>
      <c r="M368" s="122"/>
      <c r="N368" s="122"/>
      <c r="O368" s="122"/>
      <c r="P368" s="122"/>
      <c r="Q368" s="122"/>
      <c r="R368" s="122"/>
      <c r="S368" s="122"/>
      <c r="T368" s="122"/>
      <c r="U368" s="122"/>
      <c r="V368" s="122"/>
      <c r="W368" s="122"/>
      <c r="X368" s="122"/>
      <c r="Y368" s="122"/>
    </row>
    <row r="369" spans="1:25" ht="15.75" customHeight="1" x14ac:dyDescent="0.2">
      <c r="A369" s="181"/>
      <c r="B369" s="174"/>
      <c r="C369" s="175"/>
      <c r="D369" s="175"/>
      <c r="E369" s="175"/>
      <c r="F369" s="122"/>
      <c r="G369" s="122"/>
      <c r="H369" s="122"/>
      <c r="I369" s="122"/>
      <c r="J369" s="173"/>
      <c r="K369" s="181"/>
      <c r="L369" s="122"/>
      <c r="M369" s="122"/>
      <c r="N369" s="122"/>
      <c r="O369" s="122"/>
      <c r="P369" s="122"/>
      <c r="Q369" s="122"/>
      <c r="R369" s="122"/>
      <c r="S369" s="122"/>
      <c r="T369" s="122"/>
      <c r="U369" s="122"/>
      <c r="V369" s="122"/>
      <c r="W369" s="122"/>
      <c r="X369" s="122"/>
      <c r="Y369" s="122"/>
    </row>
    <row r="370" spans="1:25" ht="15.75" customHeight="1" x14ac:dyDescent="0.2">
      <c r="A370" s="181"/>
      <c r="B370" s="174"/>
      <c r="C370" s="175"/>
      <c r="D370" s="175"/>
      <c r="E370" s="175"/>
      <c r="F370" s="122"/>
      <c r="G370" s="122"/>
      <c r="H370" s="122"/>
      <c r="I370" s="122"/>
      <c r="J370" s="173"/>
      <c r="K370" s="181"/>
      <c r="L370" s="122"/>
      <c r="M370" s="122"/>
      <c r="N370" s="122"/>
      <c r="O370" s="122"/>
      <c r="P370" s="122"/>
      <c r="Q370" s="122"/>
      <c r="R370" s="122"/>
      <c r="S370" s="122"/>
      <c r="T370" s="122"/>
      <c r="U370" s="122"/>
      <c r="V370" s="122"/>
      <c r="W370" s="122"/>
      <c r="X370" s="122"/>
      <c r="Y370" s="122"/>
    </row>
    <row r="371" spans="1:25" ht="15.75" customHeight="1" x14ac:dyDescent="0.2">
      <c r="A371" s="181"/>
      <c r="B371" s="174"/>
      <c r="C371" s="175"/>
      <c r="D371" s="175"/>
      <c r="E371" s="175"/>
      <c r="F371" s="122"/>
      <c r="G371" s="122"/>
      <c r="H371" s="122"/>
      <c r="I371" s="122"/>
      <c r="J371" s="173"/>
      <c r="K371" s="181"/>
      <c r="L371" s="122"/>
      <c r="M371" s="122"/>
      <c r="N371" s="122"/>
      <c r="O371" s="122"/>
      <c r="P371" s="122"/>
      <c r="Q371" s="122"/>
      <c r="R371" s="122"/>
      <c r="S371" s="122"/>
      <c r="T371" s="122"/>
      <c r="U371" s="122"/>
      <c r="V371" s="122"/>
      <c r="W371" s="122"/>
      <c r="X371" s="122"/>
      <c r="Y371" s="122"/>
    </row>
    <row r="372" spans="1:25" ht="15.75" customHeight="1" x14ac:dyDescent="0.2">
      <c r="A372" s="181"/>
      <c r="B372" s="174"/>
      <c r="C372" s="175"/>
      <c r="D372" s="175"/>
      <c r="E372" s="175"/>
      <c r="F372" s="122"/>
      <c r="G372" s="122"/>
      <c r="H372" s="122"/>
      <c r="I372" s="122"/>
      <c r="J372" s="173"/>
      <c r="K372" s="181"/>
      <c r="L372" s="122"/>
      <c r="M372" s="122"/>
      <c r="N372" s="122"/>
      <c r="O372" s="122"/>
      <c r="P372" s="122"/>
      <c r="Q372" s="122"/>
      <c r="R372" s="122"/>
      <c r="S372" s="122"/>
      <c r="T372" s="122"/>
      <c r="U372" s="122"/>
      <c r="V372" s="122"/>
      <c r="W372" s="122"/>
      <c r="X372" s="122"/>
      <c r="Y372" s="122"/>
    </row>
    <row r="373" spans="1:25" ht="15.75" customHeight="1" x14ac:dyDescent="0.2">
      <c r="A373" s="181"/>
      <c r="B373" s="174"/>
      <c r="C373" s="175"/>
      <c r="D373" s="175"/>
      <c r="E373" s="175"/>
      <c r="F373" s="122"/>
      <c r="G373" s="122"/>
      <c r="H373" s="122"/>
      <c r="I373" s="122"/>
      <c r="J373" s="173"/>
      <c r="K373" s="181"/>
      <c r="L373" s="122"/>
      <c r="M373" s="122"/>
      <c r="N373" s="122"/>
      <c r="O373" s="122"/>
      <c r="P373" s="122"/>
      <c r="Q373" s="122"/>
      <c r="R373" s="122"/>
      <c r="S373" s="122"/>
      <c r="T373" s="122"/>
      <c r="U373" s="122"/>
      <c r="V373" s="122"/>
      <c r="W373" s="122"/>
      <c r="X373" s="122"/>
      <c r="Y373" s="122"/>
    </row>
    <row r="374" spans="1:25" ht="15.75" customHeight="1" x14ac:dyDescent="0.2">
      <c r="A374" s="181"/>
      <c r="B374" s="174"/>
      <c r="C374" s="175"/>
      <c r="D374" s="175"/>
      <c r="E374" s="175"/>
      <c r="F374" s="122"/>
      <c r="G374" s="122"/>
      <c r="H374" s="122"/>
      <c r="I374" s="122"/>
      <c r="J374" s="173"/>
      <c r="K374" s="181"/>
      <c r="L374" s="122"/>
      <c r="M374" s="122"/>
      <c r="N374" s="122"/>
      <c r="O374" s="122"/>
      <c r="P374" s="122"/>
      <c r="Q374" s="122"/>
      <c r="R374" s="122"/>
      <c r="S374" s="122"/>
      <c r="T374" s="122"/>
      <c r="U374" s="122"/>
      <c r="V374" s="122"/>
      <c r="W374" s="122"/>
      <c r="X374" s="122"/>
      <c r="Y374" s="122"/>
    </row>
    <row r="375" spans="1:25" ht="15.75" customHeight="1" x14ac:dyDescent="0.2">
      <c r="A375" s="181"/>
      <c r="B375" s="174"/>
      <c r="C375" s="175"/>
      <c r="D375" s="175"/>
      <c r="E375" s="175"/>
      <c r="F375" s="122"/>
      <c r="G375" s="122"/>
      <c r="H375" s="122"/>
      <c r="I375" s="122"/>
      <c r="J375" s="173"/>
      <c r="K375" s="181"/>
      <c r="L375" s="122"/>
      <c r="M375" s="122"/>
      <c r="N375" s="122"/>
      <c r="O375" s="122"/>
      <c r="P375" s="122"/>
      <c r="Q375" s="122"/>
      <c r="R375" s="122"/>
      <c r="S375" s="122"/>
      <c r="T375" s="122"/>
      <c r="U375" s="122"/>
      <c r="V375" s="122"/>
      <c r="W375" s="122"/>
      <c r="X375" s="122"/>
      <c r="Y375" s="122"/>
    </row>
    <row r="376" spans="1:25" ht="15.75" customHeight="1" x14ac:dyDescent="0.2">
      <c r="A376" s="181"/>
      <c r="B376" s="174"/>
      <c r="C376" s="175"/>
      <c r="D376" s="175"/>
      <c r="E376" s="175"/>
      <c r="F376" s="122"/>
      <c r="G376" s="122"/>
      <c r="H376" s="122"/>
      <c r="I376" s="122"/>
      <c r="J376" s="173"/>
      <c r="K376" s="181"/>
      <c r="L376" s="122"/>
      <c r="M376" s="122"/>
      <c r="N376" s="122"/>
      <c r="O376" s="122"/>
      <c r="P376" s="122"/>
      <c r="Q376" s="122"/>
      <c r="R376" s="122"/>
      <c r="S376" s="122"/>
      <c r="T376" s="122"/>
      <c r="U376" s="122"/>
      <c r="V376" s="122"/>
      <c r="W376" s="122"/>
      <c r="X376" s="122"/>
      <c r="Y376" s="122"/>
    </row>
    <row r="377" spans="1:25" ht="15.75" customHeight="1" x14ac:dyDescent="0.2">
      <c r="A377" s="181"/>
      <c r="B377" s="174"/>
      <c r="C377" s="175"/>
      <c r="D377" s="175"/>
      <c r="E377" s="175"/>
      <c r="F377" s="122"/>
      <c r="G377" s="122"/>
      <c r="H377" s="122"/>
      <c r="I377" s="122"/>
      <c r="J377" s="173"/>
      <c r="K377" s="181"/>
      <c r="L377" s="122"/>
      <c r="M377" s="122"/>
      <c r="N377" s="122"/>
      <c r="O377" s="122"/>
      <c r="P377" s="122"/>
      <c r="Q377" s="122"/>
      <c r="R377" s="122"/>
      <c r="S377" s="122"/>
      <c r="T377" s="122"/>
      <c r="U377" s="122"/>
      <c r="V377" s="122"/>
      <c r="W377" s="122"/>
      <c r="X377" s="122"/>
      <c r="Y377" s="122"/>
    </row>
    <row r="378" spans="1:25" ht="15.75" customHeight="1" x14ac:dyDescent="0.2">
      <c r="A378" s="181"/>
      <c r="B378" s="174"/>
      <c r="C378" s="175"/>
      <c r="D378" s="175"/>
      <c r="E378" s="175"/>
      <c r="F378" s="122"/>
      <c r="G378" s="122"/>
      <c r="H378" s="122"/>
      <c r="I378" s="122"/>
      <c r="J378" s="173"/>
      <c r="K378" s="181"/>
      <c r="L378" s="122"/>
      <c r="M378" s="122"/>
      <c r="N378" s="122"/>
      <c r="O378" s="122"/>
      <c r="P378" s="122"/>
      <c r="Q378" s="122"/>
      <c r="R378" s="122"/>
      <c r="S378" s="122"/>
      <c r="T378" s="122"/>
      <c r="U378" s="122"/>
      <c r="V378" s="122"/>
      <c r="W378" s="122"/>
      <c r="X378" s="122"/>
      <c r="Y378" s="122"/>
    </row>
    <row r="379" spans="1:25" ht="15.75" customHeight="1" x14ac:dyDescent="0.2">
      <c r="A379" s="181"/>
      <c r="B379" s="174"/>
      <c r="C379" s="175"/>
      <c r="D379" s="175"/>
      <c r="E379" s="175"/>
      <c r="F379" s="122"/>
      <c r="G379" s="122"/>
      <c r="H379" s="122"/>
      <c r="I379" s="122"/>
      <c r="J379" s="173"/>
      <c r="K379" s="181"/>
      <c r="L379" s="122"/>
      <c r="M379" s="122"/>
      <c r="N379" s="122"/>
      <c r="O379" s="122"/>
      <c r="P379" s="122"/>
      <c r="Q379" s="122"/>
      <c r="R379" s="122"/>
      <c r="S379" s="122"/>
      <c r="T379" s="122"/>
      <c r="U379" s="122"/>
      <c r="V379" s="122"/>
      <c r="W379" s="122"/>
      <c r="X379" s="122"/>
      <c r="Y379" s="122"/>
    </row>
    <row r="380" spans="1:25" ht="15.75" customHeight="1" x14ac:dyDescent="0.2">
      <c r="A380" s="181"/>
      <c r="B380" s="174"/>
      <c r="C380" s="175"/>
      <c r="D380" s="175"/>
      <c r="E380" s="175"/>
      <c r="F380" s="122"/>
      <c r="G380" s="122"/>
      <c r="H380" s="122"/>
      <c r="I380" s="122"/>
      <c r="J380" s="173"/>
      <c r="K380" s="181"/>
      <c r="L380" s="122"/>
      <c r="M380" s="122"/>
      <c r="N380" s="122"/>
      <c r="O380" s="122"/>
      <c r="P380" s="122"/>
      <c r="Q380" s="122"/>
      <c r="R380" s="122"/>
      <c r="S380" s="122"/>
      <c r="T380" s="122"/>
      <c r="U380" s="122"/>
      <c r="V380" s="122"/>
      <c r="W380" s="122"/>
      <c r="X380" s="122"/>
      <c r="Y380" s="122"/>
    </row>
    <row r="381" spans="1:25" ht="15.75" customHeight="1" x14ac:dyDescent="0.2">
      <c r="A381" s="181"/>
      <c r="B381" s="174"/>
      <c r="C381" s="175"/>
      <c r="D381" s="175"/>
      <c r="E381" s="175"/>
      <c r="F381" s="122"/>
      <c r="G381" s="122"/>
      <c r="H381" s="122"/>
      <c r="I381" s="122"/>
      <c r="J381" s="173"/>
      <c r="K381" s="181"/>
      <c r="L381" s="122"/>
      <c r="M381" s="122"/>
      <c r="N381" s="122"/>
      <c r="O381" s="122"/>
      <c r="P381" s="122"/>
      <c r="Q381" s="122"/>
      <c r="R381" s="122"/>
      <c r="S381" s="122"/>
      <c r="T381" s="122"/>
      <c r="U381" s="122"/>
      <c r="V381" s="122"/>
      <c r="W381" s="122"/>
      <c r="X381" s="122"/>
      <c r="Y381" s="122"/>
    </row>
    <row r="382" spans="1:25" ht="15.75" customHeight="1" x14ac:dyDescent="0.2">
      <c r="A382" s="181"/>
      <c r="B382" s="174"/>
      <c r="C382" s="175"/>
      <c r="D382" s="175"/>
      <c r="E382" s="175"/>
      <c r="F382" s="122"/>
      <c r="G382" s="122"/>
      <c r="H382" s="122"/>
      <c r="I382" s="122"/>
      <c r="J382" s="173"/>
      <c r="K382" s="181"/>
      <c r="L382" s="122"/>
      <c r="M382" s="122"/>
      <c r="N382" s="122"/>
      <c r="O382" s="122"/>
      <c r="P382" s="122"/>
      <c r="Q382" s="122"/>
      <c r="R382" s="122"/>
      <c r="S382" s="122"/>
      <c r="T382" s="122"/>
      <c r="U382" s="122"/>
      <c r="V382" s="122"/>
      <c r="W382" s="122"/>
      <c r="X382" s="122"/>
      <c r="Y382" s="122"/>
    </row>
    <row r="383" spans="1:25" ht="15.75" customHeight="1" x14ac:dyDescent="0.2">
      <c r="A383" s="181"/>
      <c r="B383" s="174"/>
      <c r="C383" s="175"/>
      <c r="D383" s="175"/>
      <c r="E383" s="175"/>
      <c r="F383" s="122"/>
      <c r="G383" s="122"/>
      <c r="H383" s="122"/>
      <c r="I383" s="122"/>
      <c r="J383" s="173"/>
      <c r="K383" s="181"/>
      <c r="L383" s="122"/>
      <c r="M383" s="122"/>
      <c r="N383" s="122"/>
      <c r="O383" s="122"/>
      <c r="P383" s="122"/>
      <c r="Q383" s="122"/>
      <c r="R383" s="122"/>
      <c r="S383" s="122"/>
      <c r="T383" s="122"/>
      <c r="U383" s="122"/>
      <c r="V383" s="122"/>
      <c r="W383" s="122"/>
      <c r="X383" s="122"/>
      <c r="Y383" s="122"/>
    </row>
    <row r="384" spans="1:25" ht="15.75" customHeight="1" x14ac:dyDescent="0.2">
      <c r="A384" s="181"/>
      <c r="B384" s="174"/>
      <c r="C384" s="175"/>
      <c r="D384" s="175"/>
      <c r="E384" s="175"/>
      <c r="F384" s="122"/>
      <c r="G384" s="122"/>
      <c r="H384" s="122"/>
      <c r="I384" s="122"/>
      <c r="J384" s="173"/>
      <c r="K384" s="181"/>
      <c r="L384" s="122"/>
      <c r="M384" s="122"/>
      <c r="N384" s="122"/>
      <c r="O384" s="122"/>
      <c r="P384" s="122"/>
      <c r="Q384" s="122"/>
      <c r="R384" s="122"/>
      <c r="S384" s="122"/>
      <c r="T384" s="122"/>
      <c r="U384" s="122"/>
      <c r="V384" s="122"/>
      <c r="W384" s="122"/>
      <c r="X384" s="122"/>
      <c r="Y384" s="122"/>
    </row>
    <row r="385" spans="1:25" ht="15.75" customHeight="1" x14ac:dyDescent="0.2">
      <c r="A385" s="181"/>
      <c r="B385" s="174"/>
      <c r="C385" s="175"/>
      <c r="D385" s="175"/>
      <c r="E385" s="175"/>
      <c r="F385" s="122"/>
      <c r="G385" s="122"/>
      <c r="H385" s="122"/>
      <c r="I385" s="122"/>
      <c r="J385" s="173"/>
      <c r="K385" s="181"/>
      <c r="L385" s="122"/>
      <c r="M385" s="122"/>
      <c r="N385" s="122"/>
      <c r="O385" s="122"/>
      <c r="P385" s="122"/>
      <c r="Q385" s="122"/>
      <c r="R385" s="122"/>
      <c r="S385" s="122"/>
      <c r="T385" s="122"/>
      <c r="U385" s="122"/>
      <c r="V385" s="122"/>
      <c r="W385" s="122"/>
      <c r="X385" s="122"/>
      <c r="Y385" s="122"/>
    </row>
    <row r="386" spans="1:25" ht="15.75" customHeight="1" x14ac:dyDescent="0.2">
      <c r="A386" s="181"/>
      <c r="B386" s="174"/>
      <c r="C386" s="175"/>
      <c r="D386" s="175"/>
      <c r="E386" s="175"/>
      <c r="F386" s="122"/>
      <c r="G386" s="122"/>
      <c r="H386" s="122"/>
      <c r="I386" s="122"/>
      <c r="J386" s="173"/>
      <c r="K386" s="181"/>
      <c r="L386" s="122"/>
      <c r="M386" s="122"/>
      <c r="N386" s="122"/>
      <c r="O386" s="122"/>
      <c r="P386" s="122"/>
      <c r="Q386" s="122"/>
      <c r="R386" s="122"/>
      <c r="S386" s="122"/>
      <c r="T386" s="122"/>
      <c r="U386" s="122"/>
      <c r="V386" s="122"/>
      <c r="W386" s="122"/>
      <c r="X386" s="122"/>
      <c r="Y386" s="122"/>
    </row>
    <row r="387" spans="1:25" ht="15.75" customHeight="1" x14ac:dyDescent="0.2">
      <c r="A387" s="181"/>
      <c r="B387" s="174"/>
      <c r="C387" s="175"/>
      <c r="D387" s="175"/>
      <c r="E387" s="175"/>
      <c r="F387" s="122"/>
      <c r="G387" s="122"/>
      <c r="H387" s="122"/>
      <c r="I387" s="122"/>
      <c r="J387" s="173"/>
      <c r="K387" s="181"/>
      <c r="L387" s="122"/>
      <c r="M387" s="122"/>
      <c r="N387" s="122"/>
      <c r="O387" s="122"/>
      <c r="P387" s="122"/>
      <c r="Q387" s="122"/>
      <c r="R387" s="122"/>
      <c r="S387" s="122"/>
      <c r="T387" s="122"/>
      <c r="U387" s="122"/>
      <c r="V387" s="122"/>
      <c r="W387" s="122"/>
      <c r="X387" s="122"/>
      <c r="Y387" s="122"/>
    </row>
    <row r="388" spans="1:25" ht="15.75" customHeight="1" x14ac:dyDescent="0.2">
      <c r="A388" s="181"/>
      <c r="B388" s="174"/>
      <c r="C388" s="175"/>
      <c r="D388" s="175"/>
      <c r="E388" s="175"/>
      <c r="F388" s="122"/>
      <c r="G388" s="122"/>
      <c r="H388" s="122"/>
      <c r="I388" s="122"/>
      <c r="J388" s="173"/>
      <c r="K388" s="181"/>
      <c r="L388" s="122"/>
      <c r="M388" s="122"/>
      <c r="N388" s="122"/>
      <c r="O388" s="122"/>
      <c r="P388" s="122"/>
      <c r="Q388" s="122"/>
      <c r="R388" s="122"/>
      <c r="S388" s="122"/>
      <c r="T388" s="122"/>
      <c r="U388" s="122"/>
      <c r="V388" s="122"/>
      <c r="W388" s="122"/>
      <c r="X388" s="122"/>
      <c r="Y388" s="122"/>
    </row>
    <row r="389" spans="1:25" ht="15.75" customHeight="1" x14ac:dyDescent="0.2">
      <c r="A389" s="181"/>
      <c r="B389" s="174"/>
      <c r="C389" s="175"/>
      <c r="D389" s="175"/>
      <c r="E389" s="175"/>
      <c r="F389" s="122"/>
      <c r="G389" s="122"/>
      <c r="H389" s="122"/>
      <c r="I389" s="122"/>
      <c r="J389" s="173"/>
      <c r="K389" s="181"/>
      <c r="L389" s="122"/>
      <c r="M389" s="122"/>
      <c r="N389" s="122"/>
      <c r="O389" s="122"/>
      <c r="P389" s="122"/>
      <c r="Q389" s="122"/>
      <c r="R389" s="122"/>
      <c r="S389" s="122"/>
      <c r="T389" s="122"/>
      <c r="U389" s="122"/>
      <c r="V389" s="122"/>
      <c r="W389" s="122"/>
      <c r="X389" s="122"/>
      <c r="Y389" s="122"/>
    </row>
    <row r="390" spans="1:25" ht="15.75" customHeight="1" x14ac:dyDescent="0.2">
      <c r="A390" s="181"/>
      <c r="B390" s="174"/>
      <c r="C390" s="175"/>
      <c r="D390" s="175"/>
      <c r="E390" s="175"/>
      <c r="F390" s="122"/>
      <c r="G390" s="122"/>
      <c r="H390" s="122"/>
      <c r="I390" s="122"/>
      <c r="J390" s="173"/>
      <c r="K390" s="181"/>
      <c r="L390" s="122"/>
      <c r="M390" s="122"/>
      <c r="N390" s="122"/>
      <c r="O390" s="122"/>
      <c r="P390" s="122"/>
      <c r="Q390" s="122"/>
      <c r="R390" s="122"/>
      <c r="S390" s="122"/>
      <c r="T390" s="122"/>
      <c r="U390" s="122"/>
      <c r="V390" s="122"/>
      <c r="W390" s="122"/>
      <c r="X390" s="122"/>
      <c r="Y390" s="122"/>
    </row>
    <row r="391" spans="1:25" ht="15.75" customHeight="1" x14ac:dyDescent="0.2">
      <c r="A391" s="181"/>
      <c r="B391" s="174"/>
      <c r="C391" s="175"/>
      <c r="D391" s="175"/>
      <c r="E391" s="175"/>
      <c r="F391" s="122"/>
      <c r="G391" s="122"/>
      <c r="H391" s="122"/>
      <c r="I391" s="122"/>
      <c r="J391" s="173"/>
      <c r="K391" s="181"/>
      <c r="L391" s="122"/>
      <c r="M391" s="122"/>
      <c r="N391" s="122"/>
      <c r="O391" s="122"/>
      <c r="P391" s="122"/>
      <c r="Q391" s="122"/>
      <c r="R391" s="122"/>
      <c r="S391" s="122"/>
      <c r="T391" s="122"/>
      <c r="U391" s="122"/>
      <c r="V391" s="122"/>
      <c r="W391" s="122"/>
      <c r="X391" s="122"/>
      <c r="Y391" s="122"/>
    </row>
    <row r="392" spans="1:25" ht="15.75" customHeight="1" x14ac:dyDescent="0.2">
      <c r="A392" s="181"/>
      <c r="B392" s="174"/>
      <c r="C392" s="175"/>
      <c r="D392" s="175"/>
      <c r="E392" s="175"/>
      <c r="F392" s="122"/>
      <c r="G392" s="122"/>
      <c r="H392" s="122"/>
      <c r="I392" s="122"/>
      <c r="J392" s="173"/>
      <c r="K392" s="181"/>
      <c r="L392" s="122"/>
      <c r="M392" s="122"/>
      <c r="N392" s="122"/>
      <c r="O392" s="122"/>
      <c r="P392" s="122"/>
      <c r="Q392" s="122"/>
      <c r="R392" s="122"/>
      <c r="S392" s="122"/>
      <c r="T392" s="122"/>
      <c r="U392" s="122"/>
      <c r="V392" s="122"/>
      <c r="W392" s="122"/>
      <c r="X392" s="122"/>
      <c r="Y392" s="122"/>
    </row>
    <row r="393" spans="1:25" ht="15.75" customHeight="1" x14ac:dyDescent="0.2">
      <c r="A393" s="181"/>
      <c r="B393" s="174"/>
      <c r="C393" s="175"/>
      <c r="D393" s="175"/>
      <c r="E393" s="175"/>
      <c r="F393" s="122"/>
      <c r="G393" s="122"/>
      <c r="H393" s="122"/>
      <c r="I393" s="122"/>
      <c r="J393" s="173"/>
      <c r="K393" s="181"/>
      <c r="L393" s="122"/>
      <c r="M393" s="122"/>
      <c r="N393" s="122"/>
      <c r="O393" s="122"/>
      <c r="P393" s="122"/>
      <c r="Q393" s="122"/>
      <c r="R393" s="122"/>
      <c r="S393" s="122"/>
      <c r="T393" s="122"/>
      <c r="U393" s="122"/>
      <c r="V393" s="122"/>
      <c r="W393" s="122"/>
      <c r="X393" s="122"/>
      <c r="Y393" s="122"/>
    </row>
    <row r="394" spans="1:25" ht="15.75" customHeight="1" x14ac:dyDescent="0.2">
      <c r="A394" s="181"/>
      <c r="B394" s="174"/>
      <c r="C394" s="175"/>
      <c r="D394" s="175"/>
      <c r="E394" s="175"/>
      <c r="F394" s="122"/>
      <c r="G394" s="122"/>
      <c r="H394" s="122"/>
      <c r="I394" s="122"/>
      <c r="J394" s="173"/>
      <c r="K394" s="181"/>
      <c r="L394" s="122"/>
      <c r="M394" s="122"/>
      <c r="N394" s="122"/>
      <c r="O394" s="122"/>
      <c r="P394" s="122"/>
      <c r="Q394" s="122"/>
      <c r="R394" s="122"/>
      <c r="S394" s="122"/>
      <c r="T394" s="122"/>
      <c r="U394" s="122"/>
      <c r="V394" s="122"/>
      <c r="W394" s="122"/>
      <c r="X394" s="122"/>
      <c r="Y394" s="122"/>
    </row>
    <row r="395" spans="1:25" ht="15.75" customHeight="1" x14ac:dyDescent="0.2">
      <c r="A395" s="181"/>
      <c r="B395" s="174"/>
      <c r="C395" s="175"/>
      <c r="D395" s="175"/>
      <c r="E395" s="175"/>
      <c r="F395" s="122"/>
      <c r="G395" s="122"/>
      <c r="H395" s="122"/>
      <c r="I395" s="122"/>
      <c r="J395" s="173"/>
      <c r="K395" s="181"/>
      <c r="L395" s="122"/>
      <c r="M395" s="122"/>
      <c r="N395" s="122"/>
      <c r="O395" s="122"/>
      <c r="P395" s="122"/>
      <c r="Q395" s="122"/>
      <c r="R395" s="122"/>
      <c r="S395" s="122"/>
      <c r="T395" s="122"/>
      <c r="U395" s="122"/>
      <c r="V395" s="122"/>
      <c r="W395" s="122"/>
      <c r="X395" s="122"/>
      <c r="Y395" s="122"/>
    </row>
    <row r="396" spans="1:25" ht="15.75" customHeight="1" x14ac:dyDescent="0.2">
      <c r="A396" s="181"/>
      <c r="B396" s="174"/>
      <c r="C396" s="175"/>
      <c r="D396" s="175"/>
      <c r="E396" s="175"/>
      <c r="F396" s="122"/>
      <c r="G396" s="122"/>
      <c r="H396" s="122"/>
      <c r="I396" s="122"/>
      <c r="J396" s="173"/>
      <c r="K396" s="181"/>
      <c r="L396" s="122"/>
      <c r="M396" s="122"/>
      <c r="N396" s="122"/>
      <c r="O396" s="122"/>
      <c r="P396" s="122"/>
      <c r="Q396" s="122"/>
      <c r="R396" s="122"/>
      <c r="S396" s="122"/>
      <c r="T396" s="122"/>
      <c r="U396" s="122"/>
      <c r="V396" s="122"/>
      <c r="W396" s="122"/>
      <c r="X396" s="122"/>
      <c r="Y396" s="122"/>
    </row>
    <row r="397" spans="1:25" ht="15.75" customHeight="1" x14ac:dyDescent="0.2">
      <c r="A397" s="181"/>
      <c r="B397" s="174"/>
      <c r="C397" s="175"/>
      <c r="D397" s="175"/>
      <c r="E397" s="175"/>
      <c r="F397" s="122"/>
      <c r="G397" s="122"/>
      <c r="H397" s="122"/>
      <c r="I397" s="122"/>
      <c r="J397" s="173"/>
      <c r="K397" s="181"/>
      <c r="L397" s="122"/>
      <c r="M397" s="122"/>
      <c r="N397" s="122"/>
      <c r="O397" s="122"/>
      <c r="P397" s="122"/>
      <c r="Q397" s="122"/>
      <c r="R397" s="122"/>
      <c r="S397" s="122"/>
      <c r="T397" s="122"/>
      <c r="U397" s="122"/>
      <c r="V397" s="122"/>
      <c r="W397" s="122"/>
      <c r="X397" s="122"/>
      <c r="Y397" s="122"/>
    </row>
    <row r="398" spans="1:25" ht="15.75" customHeight="1" x14ac:dyDescent="0.2">
      <c r="A398" s="181"/>
      <c r="B398" s="174"/>
      <c r="C398" s="175"/>
      <c r="D398" s="175"/>
      <c r="E398" s="175"/>
      <c r="F398" s="122"/>
      <c r="G398" s="122"/>
      <c r="H398" s="122"/>
      <c r="I398" s="122"/>
      <c r="J398" s="173"/>
      <c r="K398" s="181"/>
      <c r="L398" s="122"/>
      <c r="M398" s="122"/>
      <c r="N398" s="122"/>
      <c r="O398" s="122"/>
      <c r="P398" s="122"/>
      <c r="Q398" s="122"/>
      <c r="R398" s="122"/>
      <c r="S398" s="122"/>
      <c r="T398" s="122"/>
      <c r="U398" s="122"/>
      <c r="V398" s="122"/>
      <c r="W398" s="122"/>
      <c r="X398" s="122"/>
      <c r="Y398" s="122"/>
    </row>
    <row r="399" spans="1:25" ht="15.75" customHeight="1" x14ac:dyDescent="0.2">
      <c r="A399" s="181"/>
      <c r="B399" s="174"/>
      <c r="C399" s="175"/>
      <c r="D399" s="175"/>
      <c r="E399" s="175"/>
      <c r="F399" s="122"/>
      <c r="G399" s="122"/>
      <c r="H399" s="122"/>
      <c r="I399" s="122"/>
      <c r="J399" s="173"/>
      <c r="K399" s="181"/>
      <c r="L399" s="122"/>
      <c r="M399" s="122"/>
      <c r="N399" s="122"/>
      <c r="O399" s="122"/>
      <c r="P399" s="122"/>
      <c r="Q399" s="122"/>
      <c r="R399" s="122"/>
      <c r="S399" s="122"/>
      <c r="T399" s="122"/>
      <c r="U399" s="122"/>
      <c r="V399" s="122"/>
      <c r="W399" s="122"/>
      <c r="X399" s="122"/>
      <c r="Y399" s="122"/>
    </row>
    <row r="400" spans="1:25" ht="15.75" customHeight="1" x14ac:dyDescent="0.2">
      <c r="A400" s="181"/>
      <c r="B400" s="174"/>
      <c r="C400" s="175"/>
      <c r="D400" s="175"/>
      <c r="E400" s="175"/>
      <c r="F400" s="122"/>
      <c r="G400" s="122"/>
      <c r="H400" s="122"/>
      <c r="I400" s="122"/>
      <c r="J400" s="173"/>
      <c r="K400" s="181"/>
      <c r="L400" s="122"/>
      <c r="M400" s="122"/>
      <c r="N400" s="122"/>
      <c r="O400" s="122"/>
      <c r="P400" s="122"/>
      <c r="Q400" s="122"/>
      <c r="R400" s="122"/>
      <c r="S400" s="122"/>
      <c r="T400" s="122"/>
      <c r="U400" s="122"/>
      <c r="V400" s="122"/>
      <c r="W400" s="122"/>
      <c r="X400" s="122"/>
      <c r="Y400" s="122"/>
    </row>
    <row r="401" spans="1:25" ht="15.75" customHeight="1" x14ac:dyDescent="0.2">
      <c r="A401" s="181"/>
      <c r="B401" s="174"/>
      <c r="C401" s="175"/>
      <c r="D401" s="175"/>
      <c r="E401" s="175"/>
      <c r="F401" s="122"/>
      <c r="G401" s="122"/>
      <c r="H401" s="122"/>
      <c r="I401" s="122"/>
      <c r="J401" s="173"/>
      <c r="K401" s="181"/>
      <c r="L401" s="122"/>
      <c r="M401" s="122"/>
      <c r="N401" s="122"/>
      <c r="O401" s="122"/>
      <c r="P401" s="122"/>
      <c r="Q401" s="122"/>
      <c r="R401" s="122"/>
      <c r="S401" s="122"/>
      <c r="T401" s="122"/>
      <c r="U401" s="122"/>
      <c r="V401" s="122"/>
      <c r="W401" s="122"/>
      <c r="X401" s="122"/>
      <c r="Y401" s="122"/>
    </row>
    <row r="402" spans="1:25" ht="15.75" customHeight="1" x14ac:dyDescent="0.2">
      <c r="A402" s="181"/>
      <c r="B402" s="174"/>
      <c r="C402" s="175"/>
      <c r="D402" s="175"/>
      <c r="E402" s="175"/>
      <c r="F402" s="122"/>
      <c r="G402" s="122"/>
      <c r="H402" s="122"/>
      <c r="I402" s="122"/>
      <c r="J402" s="173"/>
      <c r="K402" s="181"/>
      <c r="L402" s="122"/>
      <c r="M402" s="122"/>
      <c r="N402" s="122"/>
      <c r="O402" s="122"/>
      <c r="P402" s="122"/>
      <c r="Q402" s="122"/>
      <c r="R402" s="122"/>
      <c r="S402" s="122"/>
      <c r="T402" s="122"/>
      <c r="U402" s="122"/>
      <c r="V402" s="122"/>
      <c r="W402" s="122"/>
      <c r="X402" s="122"/>
      <c r="Y402" s="122"/>
    </row>
    <row r="403" spans="1:25" ht="15.75" customHeight="1" x14ac:dyDescent="0.2">
      <c r="A403" s="181"/>
      <c r="B403" s="174"/>
      <c r="C403" s="175"/>
      <c r="D403" s="175"/>
      <c r="E403" s="175"/>
      <c r="F403" s="122"/>
      <c r="G403" s="122"/>
      <c r="H403" s="122"/>
      <c r="I403" s="122"/>
      <c r="J403" s="173"/>
      <c r="K403" s="181"/>
      <c r="L403" s="122"/>
      <c r="M403" s="122"/>
      <c r="N403" s="122"/>
      <c r="O403" s="122"/>
      <c r="P403" s="122"/>
      <c r="Q403" s="122"/>
      <c r="R403" s="122"/>
      <c r="S403" s="122"/>
      <c r="T403" s="122"/>
      <c r="U403" s="122"/>
      <c r="V403" s="122"/>
      <c r="W403" s="122"/>
      <c r="X403" s="122"/>
      <c r="Y403" s="122"/>
    </row>
    <row r="404" spans="1:25" ht="15.75" customHeight="1" x14ac:dyDescent="0.2">
      <c r="A404" s="181"/>
      <c r="B404" s="174"/>
      <c r="C404" s="175"/>
      <c r="D404" s="175"/>
      <c r="E404" s="175"/>
      <c r="F404" s="122"/>
      <c r="G404" s="122"/>
      <c r="H404" s="122"/>
      <c r="I404" s="122"/>
      <c r="J404" s="173"/>
      <c r="K404" s="181"/>
      <c r="L404" s="122"/>
      <c r="M404" s="122"/>
      <c r="N404" s="122"/>
      <c r="O404" s="122"/>
      <c r="P404" s="122"/>
      <c r="Q404" s="122"/>
      <c r="R404" s="122"/>
      <c r="S404" s="122"/>
      <c r="T404" s="122"/>
      <c r="U404" s="122"/>
      <c r="V404" s="122"/>
      <c r="W404" s="122"/>
      <c r="X404" s="122"/>
      <c r="Y404" s="122"/>
    </row>
    <row r="405" spans="1:25" ht="15.75" customHeight="1" x14ac:dyDescent="0.2">
      <c r="A405" s="181"/>
      <c r="B405" s="174"/>
      <c r="C405" s="175"/>
      <c r="D405" s="175"/>
      <c r="E405" s="175"/>
      <c r="F405" s="122"/>
      <c r="G405" s="122"/>
      <c r="H405" s="122"/>
      <c r="I405" s="122"/>
      <c r="J405" s="173"/>
      <c r="K405" s="181"/>
      <c r="L405" s="122"/>
      <c r="M405" s="122"/>
      <c r="N405" s="122"/>
      <c r="O405" s="122"/>
      <c r="P405" s="122"/>
      <c r="Q405" s="122"/>
      <c r="R405" s="122"/>
      <c r="S405" s="122"/>
      <c r="T405" s="122"/>
      <c r="U405" s="122"/>
      <c r="V405" s="122"/>
      <c r="W405" s="122"/>
      <c r="X405" s="122"/>
      <c r="Y405" s="122"/>
    </row>
    <row r="406" spans="1:25" ht="15.75" customHeight="1" x14ac:dyDescent="0.2">
      <c r="A406" s="181"/>
      <c r="B406" s="174"/>
      <c r="C406" s="175"/>
      <c r="D406" s="175"/>
      <c r="E406" s="175"/>
      <c r="F406" s="122"/>
      <c r="G406" s="122"/>
      <c r="H406" s="122"/>
      <c r="I406" s="122"/>
      <c r="J406" s="173"/>
      <c r="K406" s="181"/>
      <c r="L406" s="122"/>
      <c r="M406" s="122"/>
      <c r="N406" s="122"/>
      <c r="O406" s="122"/>
      <c r="P406" s="122"/>
      <c r="Q406" s="122"/>
      <c r="R406" s="122"/>
      <c r="S406" s="122"/>
      <c r="T406" s="122"/>
      <c r="U406" s="122"/>
      <c r="V406" s="122"/>
      <c r="W406" s="122"/>
      <c r="X406" s="122"/>
      <c r="Y406" s="122"/>
    </row>
    <row r="407" spans="1:25" ht="15.75" customHeight="1" x14ac:dyDescent="0.2">
      <c r="A407" s="181"/>
      <c r="B407" s="174"/>
      <c r="C407" s="175"/>
      <c r="D407" s="175"/>
      <c r="E407" s="175"/>
      <c r="F407" s="122"/>
      <c r="G407" s="122"/>
      <c r="H407" s="122"/>
      <c r="I407" s="122"/>
      <c r="J407" s="173"/>
      <c r="K407" s="181"/>
      <c r="L407" s="122"/>
      <c r="M407" s="122"/>
      <c r="N407" s="122"/>
      <c r="O407" s="122"/>
      <c r="P407" s="122"/>
      <c r="Q407" s="122"/>
      <c r="R407" s="122"/>
      <c r="S407" s="122"/>
      <c r="T407" s="122"/>
      <c r="U407" s="122"/>
      <c r="V407" s="122"/>
      <c r="W407" s="122"/>
      <c r="X407" s="122"/>
      <c r="Y407" s="122"/>
    </row>
    <row r="408" spans="1:25" ht="15.75" customHeight="1" x14ac:dyDescent="0.2">
      <c r="A408" s="181"/>
      <c r="B408" s="174"/>
      <c r="C408" s="175"/>
      <c r="D408" s="175"/>
      <c r="E408" s="175"/>
      <c r="F408" s="122"/>
      <c r="G408" s="122"/>
      <c r="H408" s="122"/>
      <c r="I408" s="122"/>
      <c r="J408" s="173"/>
      <c r="K408" s="181"/>
      <c r="L408" s="122"/>
      <c r="M408" s="122"/>
      <c r="N408" s="122"/>
      <c r="O408" s="122"/>
      <c r="P408" s="122"/>
      <c r="Q408" s="122"/>
      <c r="R408" s="122"/>
      <c r="S408" s="122"/>
      <c r="T408" s="122"/>
      <c r="U408" s="122"/>
      <c r="V408" s="122"/>
      <c r="W408" s="122"/>
      <c r="X408" s="122"/>
      <c r="Y408" s="122"/>
    </row>
    <row r="409" spans="1:25" ht="15.75" customHeight="1" x14ac:dyDescent="0.2">
      <c r="A409" s="181"/>
      <c r="B409" s="174"/>
      <c r="C409" s="175"/>
      <c r="D409" s="175"/>
      <c r="E409" s="175"/>
      <c r="F409" s="122"/>
      <c r="G409" s="122"/>
      <c r="H409" s="122"/>
      <c r="I409" s="122"/>
      <c r="J409" s="173"/>
      <c r="K409" s="181"/>
      <c r="L409" s="122"/>
      <c r="M409" s="122"/>
      <c r="N409" s="122"/>
      <c r="O409" s="122"/>
      <c r="P409" s="122"/>
      <c r="Q409" s="122"/>
      <c r="R409" s="122"/>
      <c r="S409" s="122"/>
      <c r="T409" s="122"/>
      <c r="U409" s="122"/>
      <c r="V409" s="122"/>
      <c r="W409" s="122"/>
      <c r="X409" s="122"/>
      <c r="Y409" s="122"/>
    </row>
    <row r="410" spans="1:25" ht="15.75" customHeight="1" x14ac:dyDescent="0.2">
      <c r="A410" s="181"/>
      <c r="B410" s="174"/>
      <c r="C410" s="175"/>
      <c r="D410" s="175"/>
      <c r="E410" s="175"/>
      <c r="F410" s="122"/>
      <c r="G410" s="122"/>
      <c r="H410" s="122"/>
      <c r="I410" s="122"/>
      <c r="J410" s="173"/>
      <c r="K410" s="181"/>
      <c r="L410" s="122"/>
      <c r="M410" s="122"/>
      <c r="N410" s="122"/>
      <c r="O410" s="122"/>
      <c r="P410" s="122"/>
      <c r="Q410" s="122"/>
      <c r="R410" s="122"/>
      <c r="S410" s="122"/>
      <c r="T410" s="122"/>
      <c r="U410" s="122"/>
      <c r="V410" s="122"/>
      <c r="W410" s="122"/>
      <c r="X410" s="122"/>
      <c r="Y410" s="122"/>
    </row>
    <row r="411" spans="1:25" ht="15.75" customHeight="1" x14ac:dyDescent="0.2">
      <c r="A411" s="181"/>
      <c r="B411" s="174"/>
      <c r="C411" s="175"/>
      <c r="D411" s="175"/>
      <c r="E411" s="175"/>
      <c r="F411" s="122"/>
      <c r="G411" s="122"/>
      <c r="H411" s="122"/>
      <c r="I411" s="122"/>
      <c r="J411" s="173"/>
      <c r="K411" s="181"/>
      <c r="L411" s="122"/>
      <c r="M411" s="122"/>
      <c r="N411" s="122"/>
      <c r="O411" s="122"/>
      <c r="P411" s="122"/>
      <c r="Q411" s="122"/>
      <c r="R411" s="122"/>
      <c r="S411" s="122"/>
      <c r="T411" s="122"/>
      <c r="U411" s="122"/>
      <c r="V411" s="122"/>
      <c r="W411" s="122"/>
      <c r="X411" s="122"/>
      <c r="Y411" s="122"/>
    </row>
    <row r="412" spans="1:25" ht="15.75" customHeight="1" x14ac:dyDescent="0.2">
      <c r="A412" s="181"/>
      <c r="B412" s="174"/>
      <c r="C412" s="175"/>
      <c r="D412" s="175"/>
      <c r="E412" s="175"/>
      <c r="F412" s="122"/>
      <c r="G412" s="122"/>
      <c r="H412" s="122"/>
      <c r="I412" s="122"/>
      <c r="J412" s="173"/>
      <c r="K412" s="181"/>
      <c r="L412" s="122"/>
      <c r="M412" s="122"/>
      <c r="N412" s="122"/>
      <c r="O412" s="122"/>
      <c r="P412" s="122"/>
      <c r="Q412" s="122"/>
      <c r="R412" s="122"/>
      <c r="S412" s="122"/>
      <c r="T412" s="122"/>
      <c r="U412" s="122"/>
      <c r="V412" s="122"/>
      <c r="W412" s="122"/>
      <c r="X412" s="122"/>
      <c r="Y412" s="122"/>
    </row>
    <row r="413" spans="1:25" ht="15.75" customHeight="1" x14ac:dyDescent="0.2">
      <c r="A413" s="181"/>
      <c r="B413" s="174"/>
      <c r="C413" s="175"/>
      <c r="D413" s="175"/>
      <c r="E413" s="175"/>
      <c r="F413" s="122"/>
      <c r="G413" s="122"/>
      <c r="H413" s="122"/>
      <c r="I413" s="122"/>
      <c r="J413" s="173"/>
      <c r="K413" s="181"/>
      <c r="L413" s="122"/>
      <c r="M413" s="122"/>
      <c r="N413" s="122"/>
      <c r="O413" s="122"/>
      <c r="P413" s="122"/>
      <c r="Q413" s="122"/>
      <c r="R413" s="122"/>
      <c r="S413" s="122"/>
      <c r="T413" s="122"/>
      <c r="U413" s="122"/>
      <c r="V413" s="122"/>
      <c r="W413" s="122"/>
      <c r="X413" s="122"/>
      <c r="Y413" s="122"/>
    </row>
    <row r="414" spans="1:25" ht="15.75" customHeight="1" x14ac:dyDescent="0.2">
      <c r="A414" s="181"/>
      <c r="B414" s="174"/>
      <c r="C414" s="175"/>
      <c r="D414" s="175"/>
      <c r="E414" s="175"/>
      <c r="F414" s="122"/>
      <c r="G414" s="122"/>
      <c r="H414" s="122"/>
      <c r="I414" s="122"/>
      <c r="J414" s="173"/>
      <c r="K414" s="181"/>
      <c r="L414" s="122"/>
      <c r="M414" s="122"/>
      <c r="N414" s="122"/>
      <c r="O414" s="122"/>
      <c r="P414" s="122"/>
      <c r="Q414" s="122"/>
      <c r="R414" s="122"/>
      <c r="S414" s="122"/>
      <c r="T414" s="122"/>
      <c r="U414" s="122"/>
      <c r="V414" s="122"/>
      <c r="W414" s="122"/>
      <c r="X414" s="122"/>
      <c r="Y414" s="122"/>
    </row>
    <row r="415" spans="1:25" ht="15.75" customHeight="1" x14ac:dyDescent="0.2">
      <c r="A415" s="181"/>
      <c r="B415" s="174"/>
      <c r="C415" s="175"/>
      <c r="D415" s="175"/>
      <c r="E415" s="175"/>
      <c r="F415" s="122"/>
      <c r="G415" s="122"/>
      <c r="H415" s="122"/>
      <c r="I415" s="122"/>
      <c r="J415" s="173"/>
      <c r="K415" s="181"/>
      <c r="L415" s="122"/>
      <c r="M415" s="122"/>
      <c r="N415" s="122"/>
      <c r="O415" s="122"/>
      <c r="P415" s="122"/>
      <c r="Q415" s="122"/>
      <c r="R415" s="122"/>
      <c r="S415" s="122"/>
      <c r="T415" s="122"/>
      <c r="U415" s="122"/>
      <c r="V415" s="122"/>
      <c r="W415" s="122"/>
      <c r="X415" s="122"/>
      <c r="Y415" s="122"/>
    </row>
    <row r="416" spans="1:25" ht="15.75" customHeight="1" x14ac:dyDescent="0.2">
      <c r="A416" s="181"/>
      <c r="B416" s="174"/>
      <c r="C416" s="175"/>
      <c r="D416" s="175"/>
      <c r="E416" s="175"/>
      <c r="F416" s="122"/>
      <c r="G416" s="122"/>
      <c r="H416" s="122"/>
      <c r="I416" s="122"/>
      <c r="J416" s="173"/>
      <c r="K416" s="181"/>
      <c r="L416" s="122"/>
      <c r="M416" s="122"/>
      <c r="N416" s="122"/>
      <c r="O416" s="122"/>
      <c r="P416" s="122"/>
      <c r="Q416" s="122"/>
      <c r="R416" s="122"/>
      <c r="S416" s="122"/>
      <c r="T416" s="122"/>
      <c r="U416" s="122"/>
      <c r="V416" s="122"/>
      <c r="W416" s="122"/>
      <c r="X416" s="122"/>
      <c r="Y416" s="122"/>
    </row>
    <row r="417" spans="1:25" ht="15.75" customHeight="1" x14ac:dyDescent="0.2">
      <c r="A417" s="181"/>
      <c r="B417" s="174"/>
      <c r="C417" s="175"/>
      <c r="D417" s="175"/>
      <c r="E417" s="175"/>
      <c r="F417" s="122"/>
      <c r="G417" s="122"/>
      <c r="H417" s="122"/>
      <c r="I417" s="122"/>
      <c r="J417" s="173"/>
      <c r="K417" s="181"/>
      <c r="L417" s="122"/>
      <c r="M417" s="122"/>
      <c r="N417" s="122"/>
      <c r="O417" s="122"/>
      <c r="P417" s="122"/>
      <c r="Q417" s="122"/>
      <c r="R417" s="122"/>
      <c r="S417" s="122"/>
      <c r="T417" s="122"/>
      <c r="U417" s="122"/>
      <c r="V417" s="122"/>
      <c r="W417" s="122"/>
      <c r="X417" s="122"/>
      <c r="Y417" s="122"/>
    </row>
    <row r="418" spans="1:25" ht="15.75" customHeight="1" x14ac:dyDescent="0.2">
      <c r="A418" s="181"/>
      <c r="B418" s="174"/>
      <c r="C418" s="175"/>
      <c r="D418" s="175"/>
      <c r="E418" s="175"/>
      <c r="F418" s="122"/>
      <c r="G418" s="122"/>
      <c r="H418" s="122"/>
      <c r="I418" s="122"/>
      <c r="J418" s="173"/>
      <c r="K418" s="181"/>
      <c r="L418" s="122"/>
      <c r="M418" s="122"/>
      <c r="N418" s="122"/>
      <c r="O418" s="122"/>
      <c r="P418" s="122"/>
      <c r="Q418" s="122"/>
      <c r="R418" s="122"/>
      <c r="S418" s="122"/>
      <c r="T418" s="122"/>
      <c r="U418" s="122"/>
      <c r="V418" s="122"/>
      <c r="W418" s="122"/>
      <c r="X418" s="122"/>
      <c r="Y418" s="122"/>
    </row>
    <row r="419" spans="1:25" ht="15.75" customHeight="1" x14ac:dyDescent="0.2">
      <c r="A419" s="181"/>
      <c r="B419" s="174"/>
      <c r="C419" s="175"/>
      <c r="D419" s="175"/>
      <c r="E419" s="175"/>
      <c r="F419" s="122"/>
      <c r="G419" s="122"/>
      <c r="H419" s="122"/>
      <c r="I419" s="122"/>
      <c r="J419" s="173"/>
      <c r="K419" s="181"/>
      <c r="L419" s="122"/>
      <c r="M419" s="122"/>
      <c r="N419" s="122"/>
      <c r="O419" s="122"/>
      <c r="P419" s="122"/>
      <c r="Q419" s="122"/>
      <c r="R419" s="122"/>
      <c r="S419" s="122"/>
      <c r="T419" s="122"/>
      <c r="U419" s="122"/>
      <c r="V419" s="122"/>
      <c r="W419" s="122"/>
      <c r="X419" s="122"/>
      <c r="Y419" s="122"/>
    </row>
    <row r="420" spans="1:25" ht="15.75" customHeight="1" x14ac:dyDescent="0.2">
      <c r="A420" s="181"/>
      <c r="B420" s="174"/>
      <c r="C420" s="175"/>
      <c r="D420" s="175"/>
      <c r="E420" s="175"/>
      <c r="F420" s="122"/>
      <c r="G420" s="122"/>
      <c r="H420" s="122"/>
      <c r="I420" s="122"/>
      <c r="J420" s="173"/>
      <c r="K420" s="181"/>
      <c r="L420" s="122"/>
      <c r="M420" s="122"/>
      <c r="N420" s="122"/>
      <c r="O420" s="122"/>
      <c r="P420" s="122"/>
      <c r="Q420" s="122"/>
      <c r="R420" s="122"/>
      <c r="S420" s="122"/>
      <c r="T420" s="122"/>
      <c r="U420" s="122"/>
      <c r="V420" s="122"/>
      <c r="W420" s="122"/>
      <c r="X420" s="122"/>
      <c r="Y420" s="122"/>
    </row>
    <row r="421" spans="1:25" ht="15.75" customHeight="1" x14ac:dyDescent="0.2">
      <c r="A421" s="181"/>
      <c r="B421" s="174"/>
      <c r="C421" s="175"/>
      <c r="D421" s="175"/>
      <c r="E421" s="175"/>
      <c r="F421" s="122"/>
      <c r="G421" s="122"/>
      <c r="H421" s="122"/>
      <c r="I421" s="122"/>
      <c r="J421" s="173"/>
      <c r="K421" s="181"/>
      <c r="L421" s="122"/>
      <c r="M421" s="122"/>
      <c r="N421" s="122"/>
      <c r="O421" s="122"/>
      <c r="P421" s="122"/>
      <c r="Q421" s="122"/>
      <c r="R421" s="122"/>
      <c r="S421" s="122"/>
      <c r="T421" s="122"/>
      <c r="U421" s="122"/>
      <c r="V421" s="122"/>
      <c r="W421" s="122"/>
      <c r="X421" s="122"/>
      <c r="Y421" s="122"/>
    </row>
    <row r="422" spans="1:25" ht="15.75" customHeight="1" x14ac:dyDescent="0.2">
      <c r="A422" s="181"/>
      <c r="B422" s="174"/>
      <c r="C422" s="175"/>
      <c r="D422" s="175"/>
      <c r="E422" s="175"/>
      <c r="F422" s="122"/>
      <c r="G422" s="122"/>
      <c r="H422" s="122"/>
      <c r="I422" s="122"/>
      <c r="J422" s="173"/>
      <c r="K422" s="181"/>
      <c r="L422" s="122"/>
      <c r="M422" s="122"/>
      <c r="N422" s="122"/>
      <c r="O422" s="122"/>
      <c r="P422" s="122"/>
      <c r="Q422" s="122"/>
      <c r="R422" s="122"/>
      <c r="S422" s="122"/>
      <c r="T422" s="122"/>
      <c r="U422" s="122"/>
      <c r="V422" s="122"/>
      <c r="W422" s="122"/>
      <c r="X422" s="122"/>
      <c r="Y422" s="122"/>
    </row>
    <row r="423" spans="1:25" ht="15.75" customHeight="1" x14ac:dyDescent="0.2">
      <c r="A423" s="181"/>
      <c r="B423" s="174"/>
      <c r="C423" s="175"/>
      <c r="D423" s="175"/>
      <c r="E423" s="175"/>
      <c r="F423" s="122"/>
      <c r="G423" s="122"/>
      <c r="H423" s="122"/>
      <c r="I423" s="122"/>
      <c r="J423" s="173"/>
      <c r="K423" s="181"/>
      <c r="L423" s="122"/>
      <c r="M423" s="122"/>
      <c r="N423" s="122"/>
      <c r="O423" s="122"/>
      <c r="P423" s="122"/>
      <c r="Q423" s="122"/>
      <c r="R423" s="122"/>
      <c r="S423" s="122"/>
      <c r="T423" s="122"/>
      <c r="U423" s="122"/>
      <c r="V423" s="122"/>
      <c r="W423" s="122"/>
      <c r="X423" s="122"/>
      <c r="Y423" s="122"/>
    </row>
    <row r="424" spans="1:25" ht="15.75" customHeight="1" x14ac:dyDescent="0.2">
      <c r="A424" s="181"/>
      <c r="B424" s="174"/>
      <c r="C424" s="175"/>
      <c r="D424" s="175"/>
      <c r="E424" s="175"/>
      <c r="F424" s="122"/>
      <c r="G424" s="122"/>
      <c r="H424" s="122"/>
      <c r="I424" s="122"/>
      <c r="J424" s="173"/>
      <c r="K424" s="181"/>
      <c r="L424" s="122"/>
      <c r="M424" s="122"/>
      <c r="N424" s="122"/>
      <c r="O424" s="122"/>
      <c r="P424" s="122"/>
      <c r="Q424" s="122"/>
      <c r="R424" s="122"/>
      <c r="S424" s="122"/>
      <c r="T424" s="122"/>
      <c r="U424" s="122"/>
      <c r="V424" s="122"/>
      <c r="W424" s="122"/>
      <c r="X424" s="122"/>
      <c r="Y424" s="122"/>
    </row>
    <row r="425" spans="1:25" ht="15.75" customHeight="1" x14ac:dyDescent="0.2">
      <c r="A425" s="181"/>
      <c r="B425" s="174"/>
      <c r="C425" s="175"/>
      <c r="D425" s="175"/>
      <c r="E425" s="175"/>
      <c r="F425" s="122"/>
      <c r="G425" s="122"/>
      <c r="H425" s="122"/>
      <c r="I425" s="122"/>
      <c r="J425" s="173"/>
      <c r="K425" s="181"/>
      <c r="L425" s="122"/>
      <c r="M425" s="122"/>
      <c r="N425" s="122"/>
      <c r="O425" s="122"/>
      <c r="P425" s="122"/>
      <c r="Q425" s="122"/>
      <c r="R425" s="122"/>
      <c r="S425" s="122"/>
      <c r="T425" s="122"/>
      <c r="U425" s="122"/>
      <c r="V425" s="122"/>
      <c r="W425" s="122"/>
      <c r="X425" s="122"/>
      <c r="Y425" s="122"/>
    </row>
    <row r="426" spans="1:25" ht="15.75" customHeight="1" x14ac:dyDescent="0.2">
      <c r="A426" s="181"/>
      <c r="B426" s="174"/>
      <c r="C426" s="175"/>
      <c r="D426" s="175"/>
      <c r="E426" s="175"/>
      <c r="F426" s="122"/>
      <c r="G426" s="122"/>
      <c r="H426" s="122"/>
      <c r="I426" s="122"/>
      <c r="J426" s="173"/>
      <c r="K426" s="181"/>
      <c r="L426" s="122"/>
      <c r="M426" s="122"/>
      <c r="N426" s="122"/>
      <c r="O426" s="122"/>
      <c r="P426" s="122"/>
      <c r="Q426" s="122"/>
      <c r="R426" s="122"/>
      <c r="S426" s="122"/>
      <c r="T426" s="122"/>
      <c r="U426" s="122"/>
      <c r="V426" s="122"/>
      <c r="W426" s="122"/>
      <c r="X426" s="122"/>
      <c r="Y426" s="122"/>
    </row>
    <row r="427" spans="1:25" ht="15.75" customHeight="1" x14ac:dyDescent="0.2">
      <c r="A427" s="181"/>
      <c r="B427" s="174"/>
      <c r="C427" s="175"/>
      <c r="D427" s="175"/>
      <c r="E427" s="175"/>
      <c r="F427" s="122"/>
      <c r="G427" s="122"/>
      <c r="H427" s="122"/>
      <c r="I427" s="122"/>
      <c r="J427" s="173"/>
      <c r="K427" s="181"/>
      <c r="L427" s="122"/>
      <c r="M427" s="122"/>
      <c r="N427" s="122"/>
      <c r="O427" s="122"/>
      <c r="P427" s="122"/>
      <c r="Q427" s="122"/>
      <c r="R427" s="122"/>
      <c r="S427" s="122"/>
      <c r="T427" s="122"/>
      <c r="U427" s="122"/>
      <c r="V427" s="122"/>
      <c r="W427" s="122"/>
      <c r="X427" s="122"/>
      <c r="Y427" s="122"/>
    </row>
    <row r="428" spans="1:25" ht="15.75" customHeight="1" x14ac:dyDescent="0.2">
      <c r="A428" s="181"/>
      <c r="B428" s="174"/>
      <c r="C428" s="175"/>
      <c r="D428" s="175"/>
      <c r="E428" s="175"/>
      <c r="F428" s="122"/>
      <c r="G428" s="122"/>
      <c r="H428" s="122"/>
      <c r="I428" s="122"/>
      <c r="J428" s="173"/>
      <c r="K428" s="181"/>
      <c r="L428" s="122"/>
      <c r="M428" s="122"/>
      <c r="N428" s="122"/>
      <c r="O428" s="122"/>
      <c r="P428" s="122"/>
      <c r="Q428" s="122"/>
      <c r="R428" s="122"/>
      <c r="S428" s="122"/>
      <c r="T428" s="122"/>
      <c r="U428" s="122"/>
      <c r="V428" s="122"/>
      <c r="W428" s="122"/>
      <c r="X428" s="122"/>
      <c r="Y428" s="122"/>
    </row>
    <row r="429" spans="1:25" ht="15.75" customHeight="1" x14ac:dyDescent="0.2">
      <c r="A429" s="181"/>
      <c r="B429" s="174"/>
      <c r="C429" s="175"/>
      <c r="D429" s="175"/>
      <c r="E429" s="175"/>
      <c r="F429" s="122"/>
      <c r="G429" s="122"/>
      <c r="H429" s="122"/>
      <c r="I429" s="122"/>
      <c r="J429" s="173"/>
      <c r="K429" s="181"/>
      <c r="L429" s="122"/>
      <c r="M429" s="122"/>
      <c r="N429" s="122"/>
      <c r="O429" s="122"/>
      <c r="P429" s="122"/>
      <c r="Q429" s="122"/>
      <c r="R429" s="122"/>
      <c r="S429" s="122"/>
      <c r="T429" s="122"/>
      <c r="U429" s="122"/>
      <c r="V429" s="122"/>
      <c r="W429" s="122"/>
      <c r="X429" s="122"/>
      <c r="Y429" s="122"/>
    </row>
    <row r="430" spans="1:25" ht="15.75" customHeight="1" x14ac:dyDescent="0.2">
      <c r="A430" s="181"/>
      <c r="B430" s="174"/>
      <c r="C430" s="175"/>
      <c r="D430" s="175"/>
      <c r="E430" s="175"/>
      <c r="F430" s="122"/>
      <c r="G430" s="122"/>
      <c r="H430" s="122"/>
      <c r="I430" s="122"/>
      <c r="J430" s="173"/>
      <c r="K430" s="181"/>
      <c r="L430" s="122"/>
      <c r="M430" s="122"/>
      <c r="N430" s="122"/>
      <c r="O430" s="122"/>
      <c r="P430" s="122"/>
      <c r="Q430" s="122"/>
      <c r="R430" s="122"/>
      <c r="S430" s="122"/>
      <c r="T430" s="122"/>
      <c r="U430" s="122"/>
      <c r="V430" s="122"/>
      <c r="W430" s="122"/>
      <c r="X430" s="122"/>
      <c r="Y430" s="122"/>
    </row>
    <row r="431" spans="1:25" ht="15.75" customHeight="1" x14ac:dyDescent="0.2">
      <c r="A431" s="181"/>
      <c r="B431" s="174"/>
      <c r="C431" s="175"/>
      <c r="D431" s="175"/>
      <c r="E431" s="175"/>
      <c r="F431" s="122"/>
      <c r="G431" s="122"/>
      <c r="H431" s="122"/>
      <c r="I431" s="122"/>
      <c r="J431" s="173"/>
      <c r="K431" s="181"/>
      <c r="L431" s="122"/>
      <c r="M431" s="122"/>
      <c r="N431" s="122"/>
      <c r="O431" s="122"/>
      <c r="P431" s="122"/>
      <c r="Q431" s="122"/>
      <c r="R431" s="122"/>
      <c r="S431" s="122"/>
      <c r="T431" s="122"/>
      <c r="U431" s="122"/>
      <c r="V431" s="122"/>
      <c r="W431" s="122"/>
      <c r="X431" s="122"/>
      <c r="Y431" s="122"/>
    </row>
    <row r="432" spans="1:25" ht="15.75" customHeight="1" x14ac:dyDescent="0.2">
      <c r="A432" s="181"/>
      <c r="B432" s="174"/>
      <c r="C432" s="175"/>
      <c r="D432" s="175"/>
      <c r="E432" s="175"/>
      <c r="F432" s="122"/>
      <c r="G432" s="122"/>
      <c r="H432" s="122"/>
      <c r="I432" s="122"/>
      <c r="J432" s="173"/>
      <c r="K432" s="181"/>
      <c r="L432" s="122"/>
      <c r="M432" s="122"/>
      <c r="N432" s="122"/>
      <c r="O432" s="122"/>
      <c r="P432" s="122"/>
      <c r="Q432" s="122"/>
      <c r="R432" s="122"/>
      <c r="S432" s="122"/>
      <c r="T432" s="122"/>
      <c r="U432" s="122"/>
      <c r="V432" s="122"/>
      <c r="W432" s="122"/>
      <c r="X432" s="122"/>
      <c r="Y432" s="122"/>
    </row>
    <row r="433" spans="1:25" ht="15.75" customHeight="1" x14ac:dyDescent="0.2">
      <c r="A433" s="181"/>
      <c r="B433" s="174"/>
      <c r="C433" s="175"/>
      <c r="D433" s="175"/>
      <c r="E433" s="175"/>
      <c r="F433" s="122"/>
      <c r="G433" s="122"/>
      <c r="H433" s="122"/>
      <c r="I433" s="122"/>
      <c r="J433" s="173"/>
      <c r="K433" s="181"/>
      <c r="L433" s="122"/>
      <c r="M433" s="122"/>
      <c r="N433" s="122"/>
      <c r="O433" s="122"/>
      <c r="P433" s="122"/>
      <c r="Q433" s="122"/>
      <c r="R433" s="122"/>
      <c r="S433" s="122"/>
      <c r="T433" s="122"/>
      <c r="U433" s="122"/>
      <c r="V433" s="122"/>
      <c r="W433" s="122"/>
      <c r="X433" s="122"/>
      <c r="Y433" s="122"/>
    </row>
    <row r="434" spans="1:25" ht="15.75" customHeight="1" x14ac:dyDescent="0.2">
      <c r="A434" s="181"/>
      <c r="B434" s="174"/>
      <c r="C434" s="175"/>
      <c r="D434" s="175"/>
      <c r="E434" s="175"/>
      <c r="F434" s="122"/>
      <c r="G434" s="122"/>
      <c r="H434" s="122"/>
      <c r="I434" s="122"/>
      <c r="J434" s="173"/>
      <c r="K434" s="181"/>
      <c r="L434" s="122"/>
      <c r="M434" s="122"/>
      <c r="N434" s="122"/>
      <c r="O434" s="122"/>
      <c r="P434" s="122"/>
      <c r="Q434" s="122"/>
      <c r="R434" s="122"/>
      <c r="S434" s="122"/>
      <c r="T434" s="122"/>
      <c r="U434" s="122"/>
      <c r="V434" s="122"/>
      <c r="W434" s="122"/>
      <c r="X434" s="122"/>
      <c r="Y434" s="122"/>
    </row>
    <row r="435" spans="1:25" ht="15.75" customHeight="1" x14ac:dyDescent="0.2">
      <c r="A435" s="181"/>
      <c r="B435" s="174"/>
      <c r="C435" s="175"/>
      <c r="D435" s="175"/>
      <c r="E435" s="175"/>
      <c r="F435" s="122"/>
      <c r="G435" s="122"/>
      <c r="H435" s="122"/>
      <c r="I435" s="122"/>
      <c r="J435" s="173"/>
      <c r="K435" s="181"/>
      <c r="L435" s="122"/>
      <c r="M435" s="122"/>
      <c r="N435" s="122"/>
      <c r="O435" s="122"/>
      <c r="P435" s="122"/>
      <c r="Q435" s="122"/>
      <c r="R435" s="122"/>
      <c r="S435" s="122"/>
      <c r="T435" s="122"/>
      <c r="U435" s="122"/>
      <c r="V435" s="122"/>
      <c r="W435" s="122"/>
      <c r="X435" s="122"/>
      <c r="Y435" s="122"/>
    </row>
    <row r="436" spans="1:25" ht="15.75" customHeight="1" x14ac:dyDescent="0.2">
      <c r="A436" s="181"/>
      <c r="B436" s="174"/>
      <c r="C436" s="175"/>
      <c r="D436" s="175"/>
      <c r="E436" s="175"/>
      <c r="F436" s="122"/>
      <c r="G436" s="122"/>
      <c r="H436" s="122"/>
      <c r="I436" s="122"/>
      <c r="J436" s="173"/>
      <c r="K436" s="181"/>
      <c r="L436" s="122"/>
      <c r="M436" s="122"/>
      <c r="N436" s="122"/>
      <c r="O436" s="122"/>
      <c r="P436" s="122"/>
      <c r="Q436" s="122"/>
      <c r="R436" s="122"/>
      <c r="S436" s="122"/>
      <c r="T436" s="122"/>
      <c r="U436" s="122"/>
      <c r="V436" s="122"/>
      <c r="W436" s="122"/>
      <c r="X436" s="122"/>
      <c r="Y436" s="122"/>
    </row>
    <row r="437" spans="1:25" ht="15.75" customHeight="1" x14ac:dyDescent="0.2">
      <c r="A437" s="181"/>
      <c r="B437" s="174"/>
      <c r="C437" s="175"/>
      <c r="D437" s="175"/>
      <c r="E437" s="175"/>
      <c r="F437" s="122"/>
      <c r="G437" s="122"/>
      <c r="H437" s="122"/>
      <c r="I437" s="122"/>
      <c r="J437" s="173"/>
      <c r="K437" s="181"/>
      <c r="L437" s="122"/>
      <c r="M437" s="122"/>
      <c r="N437" s="122"/>
      <c r="O437" s="122"/>
      <c r="P437" s="122"/>
      <c r="Q437" s="122"/>
      <c r="R437" s="122"/>
      <c r="S437" s="122"/>
      <c r="T437" s="122"/>
      <c r="U437" s="122"/>
      <c r="V437" s="122"/>
      <c r="W437" s="122"/>
      <c r="X437" s="122"/>
      <c r="Y437" s="122"/>
    </row>
    <row r="438" spans="1:25" ht="15.75" customHeight="1" x14ac:dyDescent="0.2">
      <c r="A438" s="181"/>
      <c r="B438" s="174"/>
      <c r="C438" s="175"/>
      <c r="D438" s="175"/>
      <c r="E438" s="175"/>
      <c r="F438" s="122"/>
      <c r="G438" s="122"/>
      <c r="H438" s="122"/>
      <c r="I438" s="122"/>
      <c r="J438" s="173"/>
      <c r="K438" s="181"/>
      <c r="L438" s="122"/>
      <c r="M438" s="122"/>
      <c r="N438" s="122"/>
      <c r="O438" s="122"/>
      <c r="P438" s="122"/>
      <c r="Q438" s="122"/>
      <c r="R438" s="122"/>
      <c r="S438" s="122"/>
      <c r="T438" s="122"/>
      <c r="U438" s="122"/>
      <c r="V438" s="122"/>
      <c r="W438" s="122"/>
      <c r="X438" s="122"/>
      <c r="Y438" s="122"/>
    </row>
    <row r="439" spans="1:25" ht="15.75" customHeight="1" x14ac:dyDescent="0.2">
      <c r="A439" s="181"/>
      <c r="B439" s="174"/>
      <c r="C439" s="175"/>
      <c r="D439" s="175"/>
      <c r="E439" s="175"/>
      <c r="F439" s="122"/>
      <c r="G439" s="122"/>
      <c r="H439" s="122"/>
      <c r="I439" s="122"/>
      <c r="J439" s="173"/>
      <c r="K439" s="181"/>
      <c r="L439" s="122"/>
      <c r="M439" s="122"/>
      <c r="N439" s="122"/>
      <c r="O439" s="122"/>
      <c r="P439" s="122"/>
      <c r="Q439" s="122"/>
      <c r="R439" s="122"/>
      <c r="S439" s="122"/>
      <c r="T439" s="122"/>
      <c r="U439" s="122"/>
      <c r="V439" s="122"/>
      <c r="W439" s="122"/>
      <c r="X439" s="122"/>
      <c r="Y439" s="122"/>
    </row>
    <row r="440" spans="1:25" ht="15.75" customHeight="1" x14ac:dyDescent="0.2">
      <c r="A440" s="181"/>
      <c r="B440" s="174"/>
      <c r="C440" s="175"/>
      <c r="D440" s="175"/>
      <c r="E440" s="175"/>
      <c r="F440" s="122"/>
      <c r="G440" s="122"/>
      <c r="H440" s="122"/>
      <c r="I440" s="122"/>
      <c r="J440" s="173"/>
      <c r="K440" s="181"/>
      <c r="L440" s="122"/>
      <c r="M440" s="122"/>
      <c r="N440" s="122"/>
      <c r="O440" s="122"/>
      <c r="P440" s="122"/>
      <c r="Q440" s="122"/>
      <c r="R440" s="122"/>
      <c r="S440" s="122"/>
      <c r="T440" s="122"/>
      <c r="U440" s="122"/>
      <c r="V440" s="122"/>
      <c r="W440" s="122"/>
      <c r="X440" s="122"/>
      <c r="Y440" s="122"/>
    </row>
    <row r="441" spans="1:25" ht="15.75" customHeight="1" x14ac:dyDescent="0.2">
      <c r="A441" s="181"/>
      <c r="B441" s="174"/>
      <c r="C441" s="175"/>
      <c r="D441" s="175"/>
      <c r="E441" s="175"/>
      <c r="F441" s="122"/>
      <c r="G441" s="122"/>
      <c r="H441" s="122"/>
      <c r="I441" s="122"/>
      <c r="J441" s="173"/>
      <c r="K441" s="181"/>
      <c r="L441" s="122"/>
      <c r="M441" s="122"/>
      <c r="N441" s="122"/>
      <c r="O441" s="122"/>
      <c r="P441" s="122"/>
      <c r="Q441" s="122"/>
      <c r="R441" s="122"/>
      <c r="S441" s="122"/>
      <c r="T441" s="122"/>
      <c r="U441" s="122"/>
      <c r="V441" s="122"/>
      <c r="W441" s="122"/>
      <c r="X441" s="122"/>
      <c r="Y441" s="122"/>
    </row>
    <row r="442" spans="1:25" ht="15.75" customHeight="1" x14ac:dyDescent="0.2">
      <c r="A442" s="181"/>
      <c r="B442" s="174"/>
      <c r="C442" s="175"/>
      <c r="D442" s="175"/>
      <c r="E442" s="175"/>
      <c r="F442" s="122"/>
      <c r="G442" s="122"/>
      <c r="H442" s="122"/>
      <c r="I442" s="122"/>
      <c r="J442" s="173"/>
      <c r="K442" s="181"/>
      <c r="L442" s="122"/>
      <c r="M442" s="122"/>
      <c r="N442" s="122"/>
      <c r="O442" s="122"/>
      <c r="P442" s="122"/>
      <c r="Q442" s="122"/>
      <c r="R442" s="122"/>
      <c r="S442" s="122"/>
      <c r="T442" s="122"/>
      <c r="U442" s="122"/>
      <c r="V442" s="122"/>
      <c r="W442" s="122"/>
      <c r="X442" s="122"/>
      <c r="Y442" s="122"/>
    </row>
    <row r="443" spans="1:25" ht="15.75" customHeight="1" x14ac:dyDescent="0.2">
      <c r="A443" s="181"/>
      <c r="B443" s="174"/>
      <c r="C443" s="175"/>
      <c r="D443" s="175"/>
      <c r="E443" s="175"/>
      <c r="F443" s="122"/>
      <c r="G443" s="122"/>
      <c r="H443" s="122"/>
      <c r="I443" s="122"/>
      <c r="J443" s="173"/>
      <c r="K443" s="181"/>
      <c r="L443" s="122"/>
      <c r="M443" s="122"/>
      <c r="N443" s="122"/>
      <c r="O443" s="122"/>
      <c r="P443" s="122"/>
      <c r="Q443" s="122"/>
      <c r="R443" s="122"/>
      <c r="S443" s="122"/>
      <c r="T443" s="122"/>
      <c r="U443" s="122"/>
      <c r="V443" s="122"/>
      <c r="W443" s="122"/>
      <c r="X443" s="122"/>
      <c r="Y443" s="122"/>
    </row>
    <row r="444" spans="1:25" ht="15.75" customHeight="1" x14ac:dyDescent="0.2">
      <c r="A444" s="181"/>
      <c r="B444" s="174"/>
      <c r="C444" s="175"/>
      <c r="D444" s="175"/>
      <c r="E444" s="175"/>
      <c r="F444" s="122"/>
      <c r="G444" s="122"/>
      <c r="H444" s="122"/>
      <c r="I444" s="122"/>
      <c r="J444" s="173"/>
      <c r="K444" s="181"/>
      <c r="L444" s="122"/>
      <c r="M444" s="122"/>
      <c r="N444" s="122"/>
      <c r="O444" s="122"/>
      <c r="P444" s="122"/>
      <c r="Q444" s="122"/>
      <c r="R444" s="122"/>
      <c r="S444" s="122"/>
      <c r="T444" s="122"/>
      <c r="U444" s="122"/>
      <c r="V444" s="122"/>
      <c r="W444" s="122"/>
      <c r="X444" s="122"/>
      <c r="Y444" s="122"/>
    </row>
    <row r="445" spans="1:25" ht="15.75" customHeight="1" x14ac:dyDescent="0.2">
      <c r="A445" s="181"/>
      <c r="B445" s="174"/>
      <c r="C445" s="175"/>
      <c r="D445" s="175"/>
      <c r="E445" s="175"/>
      <c r="F445" s="122"/>
      <c r="G445" s="122"/>
      <c r="H445" s="122"/>
      <c r="I445" s="122"/>
      <c r="J445" s="173"/>
      <c r="K445" s="181"/>
      <c r="L445" s="122"/>
      <c r="M445" s="122"/>
      <c r="N445" s="122"/>
      <c r="O445" s="122"/>
      <c r="P445" s="122"/>
      <c r="Q445" s="122"/>
      <c r="R445" s="122"/>
      <c r="S445" s="122"/>
      <c r="T445" s="122"/>
      <c r="U445" s="122"/>
      <c r="V445" s="122"/>
      <c r="W445" s="122"/>
      <c r="X445" s="122"/>
      <c r="Y445" s="122"/>
    </row>
    <row r="446" spans="1:25" ht="15.75" customHeight="1" x14ac:dyDescent="0.2">
      <c r="A446" s="181"/>
      <c r="B446" s="174"/>
      <c r="C446" s="175"/>
      <c r="D446" s="175"/>
      <c r="E446" s="175"/>
      <c r="F446" s="122"/>
      <c r="G446" s="122"/>
      <c r="H446" s="122"/>
      <c r="I446" s="122"/>
      <c r="J446" s="173"/>
      <c r="K446" s="181"/>
      <c r="L446" s="122"/>
      <c r="M446" s="122"/>
      <c r="N446" s="122"/>
      <c r="O446" s="122"/>
      <c r="P446" s="122"/>
      <c r="Q446" s="122"/>
      <c r="R446" s="122"/>
      <c r="S446" s="122"/>
      <c r="T446" s="122"/>
      <c r="U446" s="122"/>
      <c r="V446" s="122"/>
      <c r="W446" s="122"/>
      <c r="X446" s="122"/>
      <c r="Y446" s="122"/>
    </row>
    <row r="447" spans="1:25" ht="15.75" customHeight="1" x14ac:dyDescent="0.2">
      <c r="A447" s="181"/>
      <c r="B447" s="174"/>
      <c r="C447" s="175"/>
      <c r="D447" s="175"/>
      <c r="E447" s="175"/>
      <c r="F447" s="122"/>
      <c r="G447" s="122"/>
      <c r="H447" s="122"/>
      <c r="I447" s="122"/>
      <c r="J447" s="173"/>
      <c r="K447" s="181"/>
      <c r="L447" s="122"/>
      <c r="M447" s="122"/>
      <c r="N447" s="122"/>
      <c r="O447" s="122"/>
      <c r="P447" s="122"/>
      <c r="Q447" s="122"/>
      <c r="R447" s="122"/>
      <c r="S447" s="122"/>
      <c r="T447" s="122"/>
      <c r="U447" s="122"/>
      <c r="V447" s="122"/>
      <c r="W447" s="122"/>
      <c r="X447" s="122"/>
      <c r="Y447" s="122"/>
    </row>
    <row r="448" spans="1:25" ht="15.75" customHeight="1" x14ac:dyDescent="0.2">
      <c r="A448" s="181"/>
      <c r="B448" s="174"/>
      <c r="C448" s="175"/>
      <c r="D448" s="175"/>
      <c r="E448" s="175"/>
      <c r="F448" s="122"/>
      <c r="G448" s="122"/>
      <c r="H448" s="122"/>
      <c r="I448" s="122"/>
      <c r="J448" s="173"/>
      <c r="K448" s="181"/>
      <c r="L448" s="122"/>
      <c r="M448" s="122"/>
      <c r="N448" s="122"/>
      <c r="O448" s="122"/>
      <c r="P448" s="122"/>
      <c r="Q448" s="122"/>
      <c r="R448" s="122"/>
      <c r="S448" s="122"/>
      <c r="T448" s="122"/>
      <c r="U448" s="122"/>
      <c r="V448" s="122"/>
      <c r="W448" s="122"/>
      <c r="X448" s="122"/>
      <c r="Y448" s="122"/>
    </row>
    <row r="449" spans="1:25" ht="15.75" customHeight="1" x14ac:dyDescent="0.2">
      <c r="A449" s="181"/>
      <c r="B449" s="174"/>
      <c r="C449" s="175"/>
      <c r="D449" s="175"/>
      <c r="E449" s="175"/>
      <c r="F449" s="122"/>
      <c r="G449" s="122"/>
      <c r="H449" s="122"/>
      <c r="I449" s="122"/>
      <c r="J449" s="173"/>
      <c r="K449" s="181"/>
      <c r="L449" s="122"/>
      <c r="M449" s="122"/>
      <c r="N449" s="122"/>
      <c r="O449" s="122"/>
      <c r="P449" s="122"/>
      <c r="Q449" s="122"/>
      <c r="R449" s="122"/>
      <c r="S449" s="122"/>
      <c r="T449" s="122"/>
      <c r="U449" s="122"/>
      <c r="V449" s="122"/>
      <c r="W449" s="122"/>
      <c r="X449" s="122"/>
      <c r="Y449" s="122"/>
    </row>
    <row r="450" spans="1:25" ht="15.75" customHeight="1" x14ac:dyDescent="0.2">
      <c r="A450" s="181"/>
      <c r="B450" s="174"/>
      <c r="C450" s="175"/>
      <c r="D450" s="175"/>
      <c r="E450" s="175"/>
      <c r="F450" s="122"/>
      <c r="G450" s="122"/>
      <c r="H450" s="122"/>
      <c r="I450" s="122"/>
      <c r="J450" s="173"/>
      <c r="K450" s="181"/>
      <c r="L450" s="122"/>
      <c r="M450" s="122"/>
      <c r="N450" s="122"/>
      <c r="O450" s="122"/>
      <c r="P450" s="122"/>
      <c r="Q450" s="122"/>
      <c r="R450" s="122"/>
      <c r="S450" s="122"/>
      <c r="T450" s="122"/>
      <c r="U450" s="122"/>
      <c r="V450" s="122"/>
      <c r="W450" s="122"/>
      <c r="X450" s="122"/>
      <c r="Y450" s="122"/>
    </row>
    <row r="451" spans="1:25" ht="15.75" customHeight="1" x14ac:dyDescent="0.2">
      <c r="A451" s="181"/>
      <c r="B451" s="174"/>
      <c r="C451" s="175"/>
      <c r="D451" s="175"/>
      <c r="E451" s="175"/>
      <c r="F451" s="122"/>
      <c r="G451" s="122"/>
      <c r="H451" s="122"/>
      <c r="I451" s="122"/>
      <c r="J451" s="173"/>
      <c r="K451" s="181"/>
      <c r="L451" s="122"/>
      <c r="M451" s="122"/>
      <c r="N451" s="122"/>
      <c r="O451" s="122"/>
      <c r="P451" s="122"/>
      <c r="Q451" s="122"/>
      <c r="R451" s="122"/>
      <c r="S451" s="122"/>
      <c r="T451" s="122"/>
      <c r="U451" s="122"/>
      <c r="V451" s="122"/>
      <c r="W451" s="122"/>
      <c r="X451" s="122"/>
      <c r="Y451" s="122"/>
    </row>
    <row r="452" spans="1:25" ht="15.75" customHeight="1" x14ac:dyDescent="0.2">
      <c r="A452" s="181"/>
      <c r="B452" s="174"/>
      <c r="C452" s="175"/>
      <c r="D452" s="175"/>
      <c r="E452" s="175"/>
      <c r="F452" s="122"/>
      <c r="G452" s="122"/>
      <c r="H452" s="122"/>
      <c r="I452" s="122"/>
      <c r="J452" s="173"/>
      <c r="K452" s="181"/>
      <c r="L452" s="122"/>
      <c r="M452" s="122"/>
      <c r="N452" s="122"/>
      <c r="O452" s="122"/>
      <c r="P452" s="122"/>
      <c r="Q452" s="122"/>
      <c r="R452" s="122"/>
      <c r="S452" s="122"/>
      <c r="T452" s="122"/>
      <c r="U452" s="122"/>
      <c r="V452" s="122"/>
      <c r="W452" s="122"/>
      <c r="X452" s="122"/>
      <c r="Y452" s="122"/>
    </row>
    <row r="453" spans="1:25" ht="15.75" customHeight="1" x14ac:dyDescent="0.2">
      <c r="A453" s="181"/>
      <c r="B453" s="174"/>
      <c r="C453" s="175"/>
      <c r="D453" s="175"/>
      <c r="E453" s="175"/>
      <c r="F453" s="122"/>
      <c r="G453" s="122"/>
      <c r="H453" s="122"/>
      <c r="I453" s="122"/>
      <c r="J453" s="173"/>
      <c r="K453" s="181"/>
      <c r="L453" s="122"/>
      <c r="M453" s="122"/>
      <c r="N453" s="122"/>
      <c r="O453" s="122"/>
      <c r="P453" s="122"/>
      <c r="Q453" s="122"/>
      <c r="R453" s="122"/>
      <c r="S453" s="122"/>
      <c r="T453" s="122"/>
      <c r="U453" s="122"/>
      <c r="V453" s="122"/>
      <c r="W453" s="122"/>
      <c r="X453" s="122"/>
      <c r="Y453" s="122"/>
    </row>
    <row r="454" spans="1:25" ht="15.75" customHeight="1" x14ac:dyDescent="0.2">
      <c r="A454" s="181"/>
      <c r="B454" s="174"/>
      <c r="C454" s="175"/>
      <c r="D454" s="175"/>
      <c r="E454" s="175"/>
      <c r="F454" s="122"/>
      <c r="G454" s="122"/>
      <c r="H454" s="122"/>
      <c r="I454" s="122"/>
      <c r="J454" s="173"/>
      <c r="K454" s="181"/>
      <c r="L454" s="122"/>
      <c r="M454" s="122"/>
      <c r="N454" s="122"/>
      <c r="O454" s="122"/>
      <c r="P454" s="122"/>
      <c r="Q454" s="122"/>
      <c r="R454" s="122"/>
      <c r="S454" s="122"/>
      <c r="T454" s="122"/>
      <c r="U454" s="122"/>
      <c r="V454" s="122"/>
      <c r="W454" s="122"/>
      <c r="X454" s="122"/>
      <c r="Y454" s="122"/>
    </row>
    <row r="455" spans="1:25" ht="15.75" customHeight="1" x14ac:dyDescent="0.2">
      <c r="A455" s="181"/>
      <c r="B455" s="174"/>
      <c r="C455" s="175"/>
      <c r="D455" s="175"/>
      <c r="E455" s="175"/>
      <c r="F455" s="122"/>
      <c r="G455" s="122"/>
      <c r="H455" s="122"/>
      <c r="I455" s="122"/>
      <c r="J455" s="173"/>
      <c r="K455" s="181"/>
      <c r="L455" s="122"/>
      <c r="M455" s="122"/>
      <c r="N455" s="122"/>
      <c r="O455" s="122"/>
      <c r="P455" s="122"/>
      <c r="Q455" s="122"/>
      <c r="R455" s="122"/>
      <c r="S455" s="122"/>
      <c r="T455" s="122"/>
      <c r="U455" s="122"/>
      <c r="V455" s="122"/>
      <c r="W455" s="122"/>
      <c r="X455" s="122"/>
      <c r="Y455" s="122"/>
    </row>
    <row r="456" spans="1:25" ht="15.75" customHeight="1" x14ac:dyDescent="0.2">
      <c r="A456" s="181"/>
      <c r="B456" s="174"/>
      <c r="C456" s="175"/>
      <c r="D456" s="175"/>
      <c r="E456" s="175"/>
      <c r="F456" s="122"/>
      <c r="G456" s="122"/>
      <c r="H456" s="122"/>
      <c r="I456" s="122"/>
      <c r="J456" s="173"/>
      <c r="K456" s="181"/>
      <c r="L456" s="122"/>
      <c r="M456" s="122"/>
      <c r="N456" s="122"/>
      <c r="O456" s="122"/>
      <c r="P456" s="122"/>
      <c r="Q456" s="122"/>
      <c r="R456" s="122"/>
      <c r="S456" s="122"/>
      <c r="T456" s="122"/>
      <c r="U456" s="122"/>
      <c r="V456" s="122"/>
      <c r="W456" s="122"/>
      <c r="X456" s="122"/>
      <c r="Y456" s="122"/>
    </row>
    <row r="457" spans="1:25" ht="15.75" customHeight="1" x14ac:dyDescent="0.2">
      <c r="A457" s="181"/>
      <c r="B457" s="174"/>
      <c r="C457" s="175"/>
      <c r="D457" s="175"/>
      <c r="E457" s="175"/>
      <c r="F457" s="122"/>
      <c r="G457" s="122"/>
      <c r="H457" s="122"/>
      <c r="I457" s="122"/>
      <c r="J457" s="173"/>
      <c r="K457" s="181"/>
      <c r="L457" s="122"/>
      <c r="M457" s="122"/>
      <c r="N457" s="122"/>
      <c r="O457" s="122"/>
      <c r="P457" s="122"/>
      <c r="Q457" s="122"/>
      <c r="R457" s="122"/>
      <c r="S457" s="122"/>
      <c r="T457" s="122"/>
      <c r="U457" s="122"/>
      <c r="V457" s="122"/>
      <c r="W457" s="122"/>
      <c r="X457" s="122"/>
      <c r="Y457" s="122"/>
    </row>
    <row r="458" spans="1:25" ht="15.75" customHeight="1" x14ac:dyDescent="0.2">
      <c r="A458" s="181"/>
      <c r="B458" s="174"/>
      <c r="C458" s="175"/>
      <c r="D458" s="175"/>
      <c r="E458" s="175"/>
      <c r="F458" s="122"/>
      <c r="G458" s="122"/>
      <c r="H458" s="122"/>
      <c r="I458" s="122"/>
      <c r="J458" s="173"/>
      <c r="K458" s="181"/>
      <c r="L458" s="122"/>
      <c r="M458" s="122"/>
      <c r="N458" s="122"/>
      <c r="O458" s="122"/>
      <c r="P458" s="122"/>
      <c r="Q458" s="122"/>
      <c r="R458" s="122"/>
      <c r="S458" s="122"/>
      <c r="T458" s="122"/>
      <c r="U458" s="122"/>
      <c r="V458" s="122"/>
      <c r="W458" s="122"/>
      <c r="X458" s="122"/>
      <c r="Y458" s="122"/>
    </row>
    <row r="459" spans="1:25" ht="15.75" customHeight="1" x14ac:dyDescent="0.2">
      <c r="A459" s="181"/>
      <c r="B459" s="174"/>
      <c r="C459" s="175"/>
      <c r="D459" s="175"/>
      <c r="E459" s="175"/>
      <c r="F459" s="122"/>
      <c r="G459" s="122"/>
      <c r="H459" s="122"/>
      <c r="I459" s="122"/>
      <c r="J459" s="173"/>
      <c r="K459" s="181"/>
      <c r="L459" s="122"/>
      <c r="M459" s="122"/>
      <c r="N459" s="122"/>
      <c r="O459" s="122"/>
      <c r="P459" s="122"/>
      <c r="Q459" s="122"/>
      <c r="R459" s="122"/>
      <c r="S459" s="122"/>
      <c r="T459" s="122"/>
      <c r="U459" s="122"/>
      <c r="V459" s="122"/>
      <c r="W459" s="122"/>
      <c r="X459" s="122"/>
      <c r="Y459" s="122"/>
    </row>
    <row r="460" spans="1:25" ht="15.75" customHeight="1" x14ac:dyDescent="0.2">
      <c r="A460" s="181"/>
      <c r="B460" s="174"/>
      <c r="C460" s="175"/>
      <c r="D460" s="175"/>
      <c r="E460" s="175"/>
      <c r="F460" s="122"/>
      <c r="G460" s="122"/>
      <c r="H460" s="122"/>
      <c r="I460" s="122"/>
      <c r="J460" s="173"/>
      <c r="K460" s="181"/>
      <c r="L460" s="122"/>
      <c r="M460" s="122"/>
      <c r="N460" s="122"/>
      <c r="O460" s="122"/>
      <c r="P460" s="122"/>
      <c r="Q460" s="122"/>
      <c r="R460" s="122"/>
      <c r="S460" s="122"/>
      <c r="T460" s="122"/>
      <c r="U460" s="122"/>
      <c r="V460" s="122"/>
      <c r="W460" s="122"/>
      <c r="X460" s="122"/>
      <c r="Y460" s="122"/>
    </row>
    <row r="461" spans="1:25" ht="15.75" customHeight="1" x14ac:dyDescent="0.2">
      <c r="A461" s="181"/>
      <c r="B461" s="174"/>
      <c r="C461" s="175"/>
      <c r="D461" s="175"/>
      <c r="E461" s="175"/>
      <c r="F461" s="122"/>
      <c r="G461" s="122"/>
      <c r="H461" s="122"/>
      <c r="I461" s="122"/>
      <c r="J461" s="173"/>
      <c r="K461" s="181"/>
      <c r="L461" s="122"/>
      <c r="M461" s="122"/>
      <c r="N461" s="122"/>
      <c r="O461" s="122"/>
      <c r="P461" s="122"/>
      <c r="Q461" s="122"/>
      <c r="R461" s="122"/>
      <c r="S461" s="122"/>
      <c r="T461" s="122"/>
      <c r="U461" s="122"/>
      <c r="V461" s="122"/>
      <c r="W461" s="122"/>
      <c r="X461" s="122"/>
      <c r="Y461" s="122"/>
    </row>
    <row r="462" spans="1:25" ht="15.75" customHeight="1" x14ac:dyDescent="0.2">
      <c r="A462" s="181"/>
      <c r="B462" s="174"/>
      <c r="C462" s="175"/>
      <c r="D462" s="175"/>
      <c r="E462" s="175"/>
      <c r="F462" s="122"/>
      <c r="G462" s="122"/>
      <c r="H462" s="122"/>
      <c r="I462" s="122"/>
      <c r="J462" s="173"/>
      <c r="K462" s="181"/>
      <c r="L462" s="122"/>
      <c r="M462" s="122"/>
      <c r="N462" s="122"/>
      <c r="O462" s="122"/>
      <c r="P462" s="122"/>
      <c r="Q462" s="122"/>
      <c r="R462" s="122"/>
      <c r="S462" s="122"/>
      <c r="T462" s="122"/>
      <c r="U462" s="122"/>
      <c r="V462" s="122"/>
      <c r="W462" s="122"/>
      <c r="X462" s="122"/>
      <c r="Y462" s="122"/>
    </row>
    <row r="463" spans="1:25" ht="15.75" customHeight="1" x14ac:dyDescent="0.2">
      <c r="A463" s="181"/>
      <c r="B463" s="174"/>
      <c r="C463" s="175"/>
      <c r="D463" s="175"/>
      <c r="E463" s="175"/>
      <c r="F463" s="122"/>
      <c r="G463" s="122"/>
      <c r="H463" s="122"/>
      <c r="I463" s="122"/>
      <c r="J463" s="173"/>
      <c r="K463" s="181"/>
      <c r="L463" s="122"/>
      <c r="M463" s="122"/>
      <c r="N463" s="122"/>
      <c r="O463" s="122"/>
      <c r="P463" s="122"/>
      <c r="Q463" s="122"/>
      <c r="R463" s="122"/>
      <c r="S463" s="122"/>
      <c r="T463" s="122"/>
      <c r="U463" s="122"/>
      <c r="V463" s="122"/>
      <c r="W463" s="122"/>
      <c r="X463" s="122"/>
      <c r="Y463" s="122"/>
    </row>
    <row r="464" spans="1:25" ht="15.75" customHeight="1" x14ac:dyDescent="0.2">
      <c r="A464" s="181"/>
      <c r="B464" s="174"/>
      <c r="C464" s="175"/>
      <c r="D464" s="175"/>
      <c r="E464" s="175"/>
      <c r="F464" s="122"/>
      <c r="G464" s="122"/>
      <c r="H464" s="122"/>
      <c r="I464" s="122"/>
      <c r="J464" s="173"/>
      <c r="K464" s="181"/>
      <c r="L464" s="122"/>
      <c r="M464" s="122"/>
      <c r="N464" s="122"/>
      <c r="O464" s="122"/>
      <c r="P464" s="122"/>
      <c r="Q464" s="122"/>
      <c r="R464" s="122"/>
      <c r="S464" s="122"/>
      <c r="T464" s="122"/>
      <c r="U464" s="122"/>
      <c r="V464" s="122"/>
      <c r="W464" s="122"/>
      <c r="X464" s="122"/>
      <c r="Y464" s="122"/>
    </row>
    <row r="465" spans="1:25" ht="15.75" customHeight="1" x14ac:dyDescent="0.2">
      <c r="A465" s="181"/>
      <c r="B465" s="174"/>
      <c r="C465" s="175"/>
      <c r="D465" s="175"/>
      <c r="E465" s="175"/>
      <c r="F465" s="122"/>
      <c r="G465" s="122"/>
      <c r="H465" s="122"/>
      <c r="I465" s="122"/>
      <c r="J465" s="173"/>
      <c r="K465" s="181"/>
      <c r="L465" s="122"/>
      <c r="M465" s="122"/>
      <c r="N465" s="122"/>
      <c r="O465" s="122"/>
      <c r="P465" s="122"/>
      <c r="Q465" s="122"/>
      <c r="R465" s="122"/>
      <c r="S465" s="122"/>
      <c r="T465" s="122"/>
      <c r="U465" s="122"/>
      <c r="V465" s="122"/>
      <c r="W465" s="122"/>
      <c r="X465" s="122"/>
      <c r="Y465" s="122"/>
    </row>
    <row r="466" spans="1:25" ht="15.75" customHeight="1" x14ac:dyDescent="0.2">
      <c r="A466" s="181"/>
      <c r="B466" s="174"/>
      <c r="C466" s="175"/>
      <c r="D466" s="175"/>
      <c r="E466" s="175"/>
      <c r="F466" s="122"/>
      <c r="G466" s="122"/>
      <c r="H466" s="122"/>
      <c r="I466" s="122"/>
      <c r="J466" s="173"/>
      <c r="K466" s="181"/>
      <c r="L466" s="122"/>
      <c r="M466" s="122"/>
      <c r="N466" s="122"/>
      <c r="O466" s="122"/>
      <c r="P466" s="122"/>
      <c r="Q466" s="122"/>
      <c r="R466" s="122"/>
      <c r="S466" s="122"/>
      <c r="T466" s="122"/>
      <c r="U466" s="122"/>
      <c r="V466" s="122"/>
      <c r="W466" s="122"/>
      <c r="X466" s="122"/>
      <c r="Y466" s="122"/>
    </row>
    <row r="467" spans="1:25" ht="15.75" customHeight="1" x14ac:dyDescent="0.2">
      <c r="A467" s="181"/>
      <c r="B467" s="174"/>
      <c r="C467" s="175"/>
      <c r="D467" s="175"/>
      <c r="E467" s="175"/>
      <c r="F467" s="122"/>
      <c r="G467" s="122"/>
      <c r="H467" s="122"/>
      <c r="I467" s="122"/>
      <c r="J467" s="173"/>
      <c r="K467" s="181"/>
      <c r="L467" s="122"/>
      <c r="M467" s="122"/>
      <c r="N467" s="122"/>
      <c r="O467" s="122"/>
      <c r="P467" s="122"/>
      <c r="Q467" s="122"/>
      <c r="R467" s="122"/>
      <c r="S467" s="122"/>
      <c r="T467" s="122"/>
      <c r="U467" s="122"/>
      <c r="V467" s="122"/>
      <c r="W467" s="122"/>
      <c r="X467" s="122"/>
      <c r="Y467" s="122"/>
    </row>
    <row r="468" spans="1:25" ht="15.75" customHeight="1" x14ac:dyDescent="0.2">
      <c r="A468" s="181"/>
      <c r="B468" s="174"/>
      <c r="C468" s="175"/>
      <c r="D468" s="175"/>
      <c r="E468" s="175"/>
      <c r="F468" s="122"/>
      <c r="G468" s="122"/>
      <c r="H468" s="122"/>
      <c r="I468" s="122"/>
      <c r="J468" s="173"/>
      <c r="K468" s="181"/>
      <c r="L468" s="122"/>
      <c r="M468" s="122"/>
      <c r="N468" s="122"/>
      <c r="O468" s="122"/>
      <c r="P468" s="122"/>
      <c r="Q468" s="122"/>
      <c r="R468" s="122"/>
      <c r="S468" s="122"/>
      <c r="T468" s="122"/>
      <c r="U468" s="122"/>
      <c r="V468" s="122"/>
      <c r="W468" s="122"/>
      <c r="X468" s="122"/>
      <c r="Y468" s="122"/>
    </row>
    <row r="469" spans="1:25" ht="15.75" customHeight="1" x14ac:dyDescent="0.2">
      <c r="A469" s="181"/>
      <c r="B469" s="174"/>
      <c r="C469" s="175"/>
      <c r="D469" s="175"/>
      <c r="E469" s="175"/>
      <c r="F469" s="122"/>
      <c r="G469" s="122"/>
      <c r="H469" s="122"/>
      <c r="I469" s="122"/>
      <c r="J469" s="173"/>
      <c r="K469" s="181"/>
      <c r="L469" s="122"/>
      <c r="M469" s="122"/>
      <c r="N469" s="122"/>
      <c r="O469" s="122"/>
      <c r="P469" s="122"/>
      <c r="Q469" s="122"/>
      <c r="R469" s="122"/>
      <c r="S469" s="122"/>
      <c r="T469" s="122"/>
      <c r="U469" s="122"/>
      <c r="V469" s="122"/>
      <c r="W469" s="122"/>
      <c r="X469" s="122"/>
      <c r="Y469" s="122"/>
    </row>
    <row r="470" spans="1:25" ht="15.75" customHeight="1" x14ac:dyDescent="0.2">
      <c r="A470" s="181"/>
      <c r="B470" s="174"/>
      <c r="C470" s="175"/>
      <c r="D470" s="175"/>
      <c r="E470" s="175"/>
      <c r="F470" s="122"/>
      <c r="G470" s="122"/>
      <c r="H470" s="122"/>
      <c r="I470" s="122"/>
      <c r="J470" s="173"/>
      <c r="K470" s="181"/>
      <c r="L470" s="122"/>
      <c r="M470" s="122"/>
      <c r="N470" s="122"/>
      <c r="O470" s="122"/>
      <c r="P470" s="122"/>
      <c r="Q470" s="122"/>
      <c r="R470" s="122"/>
      <c r="S470" s="122"/>
      <c r="T470" s="122"/>
      <c r="U470" s="122"/>
      <c r="V470" s="122"/>
      <c r="W470" s="122"/>
      <c r="X470" s="122"/>
      <c r="Y470" s="122"/>
    </row>
    <row r="471" spans="1:25" ht="15.75" customHeight="1" x14ac:dyDescent="0.2">
      <c r="A471" s="181"/>
      <c r="B471" s="174"/>
      <c r="C471" s="175"/>
      <c r="D471" s="175"/>
      <c r="E471" s="175"/>
      <c r="F471" s="122"/>
      <c r="G471" s="122"/>
      <c r="H471" s="122"/>
      <c r="I471" s="122"/>
      <c r="J471" s="173"/>
      <c r="K471" s="181"/>
      <c r="L471" s="122"/>
      <c r="M471" s="122"/>
      <c r="N471" s="122"/>
      <c r="O471" s="122"/>
      <c r="P471" s="122"/>
      <c r="Q471" s="122"/>
      <c r="R471" s="122"/>
      <c r="S471" s="122"/>
      <c r="T471" s="122"/>
      <c r="U471" s="122"/>
      <c r="V471" s="122"/>
      <c r="W471" s="122"/>
      <c r="X471" s="122"/>
      <c r="Y471" s="122"/>
    </row>
    <row r="472" spans="1:25" ht="15.75" customHeight="1" x14ac:dyDescent="0.2">
      <c r="A472" s="181"/>
      <c r="B472" s="174"/>
      <c r="C472" s="175"/>
      <c r="D472" s="175"/>
      <c r="E472" s="175"/>
      <c r="F472" s="122"/>
      <c r="G472" s="122"/>
      <c r="H472" s="122"/>
      <c r="I472" s="122"/>
      <c r="J472" s="173"/>
      <c r="K472" s="181"/>
      <c r="L472" s="122"/>
      <c r="M472" s="122"/>
      <c r="N472" s="122"/>
      <c r="O472" s="122"/>
      <c r="P472" s="122"/>
      <c r="Q472" s="122"/>
      <c r="R472" s="122"/>
      <c r="S472" s="122"/>
      <c r="T472" s="122"/>
      <c r="U472" s="122"/>
      <c r="V472" s="122"/>
      <c r="W472" s="122"/>
      <c r="X472" s="122"/>
      <c r="Y472" s="122"/>
    </row>
    <row r="473" spans="1:25" ht="15.75" customHeight="1" x14ac:dyDescent="0.2">
      <c r="A473" s="181"/>
      <c r="B473" s="174"/>
      <c r="C473" s="175"/>
      <c r="D473" s="175"/>
      <c r="E473" s="175"/>
      <c r="F473" s="122"/>
      <c r="G473" s="122"/>
      <c r="H473" s="122"/>
      <c r="I473" s="122"/>
      <c r="J473" s="173"/>
      <c r="K473" s="181"/>
      <c r="L473" s="122"/>
      <c r="M473" s="122"/>
      <c r="N473" s="122"/>
      <c r="O473" s="122"/>
      <c r="P473" s="122"/>
      <c r="Q473" s="122"/>
      <c r="R473" s="122"/>
      <c r="S473" s="122"/>
      <c r="T473" s="122"/>
      <c r="U473" s="122"/>
      <c r="V473" s="122"/>
      <c r="W473" s="122"/>
      <c r="X473" s="122"/>
      <c r="Y473" s="122"/>
    </row>
    <row r="474" spans="1:25" ht="15.75" customHeight="1" x14ac:dyDescent="0.2">
      <c r="A474" s="181"/>
      <c r="B474" s="174"/>
      <c r="C474" s="175"/>
      <c r="D474" s="175"/>
      <c r="E474" s="175"/>
      <c r="F474" s="122"/>
      <c r="G474" s="122"/>
      <c r="H474" s="122"/>
      <c r="I474" s="122"/>
      <c r="J474" s="173"/>
      <c r="K474" s="181"/>
      <c r="L474" s="122"/>
      <c r="M474" s="122"/>
      <c r="N474" s="122"/>
      <c r="O474" s="122"/>
      <c r="P474" s="122"/>
      <c r="Q474" s="122"/>
      <c r="R474" s="122"/>
      <c r="S474" s="122"/>
      <c r="T474" s="122"/>
      <c r="U474" s="122"/>
      <c r="V474" s="122"/>
      <c r="W474" s="122"/>
      <c r="X474" s="122"/>
      <c r="Y474" s="122"/>
    </row>
    <row r="475" spans="1:25" ht="15.75" customHeight="1" x14ac:dyDescent="0.2">
      <c r="A475" s="181"/>
      <c r="B475" s="174"/>
      <c r="C475" s="175"/>
      <c r="D475" s="175"/>
      <c r="E475" s="175"/>
      <c r="F475" s="122"/>
      <c r="G475" s="122"/>
      <c r="H475" s="122"/>
      <c r="I475" s="122"/>
      <c r="J475" s="173"/>
      <c r="K475" s="181"/>
      <c r="L475" s="122"/>
      <c r="M475" s="122"/>
      <c r="N475" s="122"/>
      <c r="O475" s="122"/>
      <c r="P475" s="122"/>
      <c r="Q475" s="122"/>
      <c r="R475" s="122"/>
      <c r="S475" s="122"/>
      <c r="T475" s="122"/>
      <c r="U475" s="122"/>
      <c r="V475" s="122"/>
      <c r="W475" s="122"/>
      <c r="X475" s="122"/>
      <c r="Y475" s="122"/>
    </row>
    <row r="476" spans="1:25" ht="15.75" customHeight="1" x14ac:dyDescent="0.2">
      <c r="A476" s="181"/>
      <c r="B476" s="174"/>
      <c r="C476" s="175"/>
      <c r="D476" s="175"/>
      <c r="E476" s="175"/>
      <c r="F476" s="122"/>
      <c r="G476" s="122"/>
      <c r="H476" s="122"/>
      <c r="I476" s="122"/>
      <c r="J476" s="173"/>
      <c r="K476" s="181"/>
      <c r="L476" s="122"/>
      <c r="M476" s="122"/>
      <c r="N476" s="122"/>
      <c r="O476" s="122"/>
      <c r="P476" s="122"/>
      <c r="Q476" s="122"/>
      <c r="R476" s="122"/>
      <c r="S476" s="122"/>
      <c r="T476" s="122"/>
      <c r="U476" s="122"/>
      <c r="V476" s="122"/>
      <c r="W476" s="122"/>
      <c r="X476" s="122"/>
      <c r="Y476" s="122"/>
    </row>
    <row r="477" spans="1:25" ht="15.75" customHeight="1" x14ac:dyDescent="0.2">
      <c r="A477" s="181"/>
      <c r="B477" s="174"/>
      <c r="C477" s="175"/>
      <c r="D477" s="175"/>
      <c r="E477" s="175"/>
      <c r="F477" s="122"/>
      <c r="G477" s="122"/>
      <c r="H477" s="122"/>
      <c r="I477" s="122"/>
      <c r="J477" s="173"/>
      <c r="K477" s="181"/>
      <c r="L477" s="122"/>
      <c r="M477" s="122"/>
      <c r="N477" s="122"/>
      <c r="O477" s="122"/>
      <c r="P477" s="122"/>
      <c r="Q477" s="122"/>
      <c r="R477" s="122"/>
      <c r="S477" s="122"/>
      <c r="T477" s="122"/>
      <c r="U477" s="122"/>
      <c r="V477" s="122"/>
      <c r="W477" s="122"/>
      <c r="X477" s="122"/>
      <c r="Y477" s="122"/>
    </row>
    <row r="478" spans="1:25" ht="15.75" customHeight="1" x14ac:dyDescent="0.2">
      <c r="A478" s="181"/>
      <c r="B478" s="174"/>
      <c r="C478" s="175"/>
      <c r="D478" s="175"/>
      <c r="E478" s="175"/>
      <c r="F478" s="122"/>
      <c r="G478" s="122"/>
      <c r="H478" s="122"/>
      <c r="I478" s="122"/>
      <c r="J478" s="173"/>
      <c r="K478" s="181"/>
      <c r="L478" s="122"/>
      <c r="M478" s="122"/>
      <c r="N478" s="122"/>
      <c r="O478" s="122"/>
      <c r="P478" s="122"/>
      <c r="Q478" s="122"/>
      <c r="R478" s="122"/>
      <c r="S478" s="122"/>
      <c r="T478" s="122"/>
      <c r="U478" s="122"/>
      <c r="V478" s="122"/>
      <c r="W478" s="122"/>
      <c r="X478" s="122"/>
      <c r="Y478" s="122"/>
    </row>
    <row r="479" spans="1:25" ht="15.75" customHeight="1" x14ac:dyDescent="0.2">
      <c r="A479" s="181"/>
      <c r="B479" s="174"/>
      <c r="C479" s="175"/>
      <c r="D479" s="175"/>
      <c r="E479" s="175"/>
      <c r="F479" s="122"/>
      <c r="G479" s="122"/>
      <c r="H479" s="122"/>
      <c r="I479" s="122"/>
      <c r="J479" s="173"/>
      <c r="K479" s="181"/>
      <c r="L479" s="122"/>
      <c r="M479" s="122"/>
      <c r="N479" s="122"/>
      <c r="O479" s="122"/>
      <c r="P479" s="122"/>
      <c r="Q479" s="122"/>
      <c r="R479" s="122"/>
      <c r="S479" s="122"/>
      <c r="T479" s="122"/>
      <c r="U479" s="122"/>
      <c r="V479" s="122"/>
      <c r="W479" s="122"/>
      <c r="X479" s="122"/>
      <c r="Y479" s="122"/>
    </row>
    <row r="480" spans="1:25" ht="15.75" customHeight="1" x14ac:dyDescent="0.2">
      <c r="A480" s="181"/>
      <c r="B480" s="174"/>
      <c r="C480" s="175"/>
      <c r="D480" s="175"/>
      <c r="E480" s="175"/>
      <c r="F480" s="122"/>
      <c r="G480" s="122"/>
      <c r="H480" s="122"/>
      <c r="I480" s="122"/>
      <c r="J480" s="173"/>
      <c r="K480" s="181"/>
      <c r="L480" s="122"/>
      <c r="M480" s="122"/>
      <c r="N480" s="122"/>
      <c r="O480" s="122"/>
      <c r="P480" s="122"/>
      <c r="Q480" s="122"/>
      <c r="R480" s="122"/>
      <c r="S480" s="122"/>
      <c r="T480" s="122"/>
      <c r="U480" s="122"/>
      <c r="V480" s="122"/>
      <c r="W480" s="122"/>
      <c r="X480" s="122"/>
      <c r="Y480" s="122"/>
    </row>
    <row r="481" spans="1:25" ht="15.75" customHeight="1" x14ac:dyDescent="0.2">
      <c r="A481" s="181"/>
      <c r="B481" s="174"/>
      <c r="C481" s="175"/>
      <c r="D481" s="175"/>
      <c r="E481" s="175"/>
      <c r="F481" s="122"/>
      <c r="G481" s="122"/>
      <c r="H481" s="122"/>
      <c r="I481" s="122"/>
      <c r="J481" s="173"/>
      <c r="K481" s="181"/>
      <c r="L481" s="122"/>
      <c r="M481" s="122"/>
      <c r="N481" s="122"/>
      <c r="O481" s="122"/>
      <c r="P481" s="122"/>
      <c r="Q481" s="122"/>
      <c r="R481" s="122"/>
      <c r="S481" s="122"/>
      <c r="T481" s="122"/>
      <c r="U481" s="122"/>
      <c r="V481" s="122"/>
      <c r="W481" s="122"/>
      <c r="X481" s="122"/>
      <c r="Y481" s="122"/>
    </row>
    <row r="482" spans="1:25" ht="15.75" customHeight="1" x14ac:dyDescent="0.2">
      <c r="A482" s="181"/>
      <c r="B482" s="174"/>
      <c r="C482" s="175"/>
      <c r="D482" s="175"/>
      <c r="E482" s="175"/>
      <c r="F482" s="122"/>
      <c r="G482" s="122"/>
      <c r="H482" s="122"/>
      <c r="I482" s="122"/>
      <c r="J482" s="173"/>
      <c r="K482" s="181"/>
      <c r="L482" s="122"/>
      <c r="M482" s="122"/>
      <c r="N482" s="122"/>
      <c r="O482" s="122"/>
      <c r="P482" s="122"/>
      <c r="Q482" s="122"/>
      <c r="R482" s="122"/>
      <c r="S482" s="122"/>
      <c r="T482" s="122"/>
      <c r="U482" s="122"/>
      <c r="V482" s="122"/>
      <c r="W482" s="122"/>
      <c r="X482" s="122"/>
      <c r="Y482" s="122"/>
    </row>
    <row r="483" spans="1:25" ht="15.75" customHeight="1" x14ac:dyDescent="0.2">
      <c r="A483" s="181"/>
      <c r="B483" s="174"/>
      <c r="C483" s="175"/>
      <c r="D483" s="175"/>
      <c r="E483" s="175"/>
      <c r="F483" s="122"/>
      <c r="G483" s="122"/>
      <c r="H483" s="122"/>
      <c r="I483" s="122"/>
      <c r="J483" s="173"/>
      <c r="K483" s="181"/>
      <c r="L483" s="122"/>
      <c r="M483" s="122"/>
      <c r="N483" s="122"/>
      <c r="O483" s="122"/>
      <c r="P483" s="122"/>
      <c r="Q483" s="122"/>
      <c r="R483" s="122"/>
      <c r="S483" s="122"/>
      <c r="T483" s="122"/>
      <c r="U483" s="122"/>
      <c r="V483" s="122"/>
      <c r="W483" s="122"/>
      <c r="X483" s="122"/>
      <c r="Y483" s="122"/>
    </row>
    <row r="484" spans="1:25" ht="15.75" customHeight="1" x14ac:dyDescent="0.2">
      <c r="A484" s="181"/>
      <c r="B484" s="174"/>
      <c r="C484" s="175"/>
      <c r="D484" s="175"/>
      <c r="E484" s="175"/>
      <c r="F484" s="122"/>
      <c r="G484" s="122"/>
      <c r="H484" s="122"/>
      <c r="I484" s="122"/>
      <c r="J484" s="173"/>
      <c r="K484" s="181"/>
      <c r="L484" s="122"/>
      <c r="M484" s="122"/>
      <c r="N484" s="122"/>
      <c r="O484" s="122"/>
      <c r="P484" s="122"/>
      <c r="Q484" s="122"/>
      <c r="R484" s="122"/>
      <c r="S484" s="122"/>
      <c r="T484" s="122"/>
      <c r="U484" s="122"/>
      <c r="V484" s="122"/>
      <c r="W484" s="122"/>
      <c r="X484" s="122"/>
      <c r="Y484" s="122"/>
    </row>
    <row r="485" spans="1:25" ht="15.75" customHeight="1" x14ac:dyDescent="0.2">
      <c r="A485" s="181"/>
      <c r="B485" s="174"/>
      <c r="C485" s="175"/>
      <c r="D485" s="175"/>
      <c r="E485" s="175"/>
      <c r="F485" s="122"/>
      <c r="G485" s="122"/>
      <c r="H485" s="122"/>
      <c r="I485" s="122"/>
      <c r="J485" s="173"/>
      <c r="K485" s="181"/>
      <c r="L485" s="122"/>
      <c r="M485" s="122"/>
      <c r="N485" s="122"/>
      <c r="O485" s="122"/>
      <c r="P485" s="122"/>
      <c r="Q485" s="122"/>
      <c r="R485" s="122"/>
      <c r="S485" s="122"/>
      <c r="T485" s="122"/>
      <c r="U485" s="122"/>
      <c r="V485" s="122"/>
      <c r="W485" s="122"/>
      <c r="X485" s="122"/>
      <c r="Y485" s="122"/>
    </row>
    <row r="486" spans="1:25" ht="15.75" customHeight="1" x14ac:dyDescent="0.2">
      <c r="A486" s="181"/>
      <c r="B486" s="174"/>
      <c r="C486" s="175"/>
      <c r="D486" s="175"/>
      <c r="E486" s="175"/>
      <c r="F486" s="122"/>
      <c r="G486" s="122"/>
      <c r="H486" s="122"/>
      <c r="I486" s="122"/>
      <c r="J486" s="173"/>
      <c r="K486" s="181"/>
      <c r="L486" s="122"/>
      <c r="M486" s="122"/>
      <c r="N486" s="122"/>
      <c r="O486" s="122"/>
      <c r="P486" s="122"/>
      <c r="Q486" s="122"/>
      <c r="R486" s="122"/>
      <c r="S486" s="122"/>
      <c r="T486" s="122"/>
      <c r="U486" s="122"/>
      <c r="V486" s="122"/>
      <c r="W486" s="122"/>
      <c r="X486" s="122"/>
      <c r="Y486" s="122"/>
    </row>
    <row r="487" spans="1:25" ht="15.75" customHeight="1" x14ac:dyDescent="0.2">
      <c r="A487" s="181"/>
      <c r="B487" s="174"/>
      <c r="C487" s="175"/>
      <c r="D487" s="175"/>
      <c r="E487" s="175"/>
      <c r="F487" s="122"/>
      <c r="G487" s="122"/>
      <c r="H487" s="122"/>
      <c r="I487" s="122"/>
      <c r="J487" s="173"/>
      <c r="K487" s="181"/>
      <c r="L487" s="122"/>
      <c r="M487" s="122"/>
      <c r="N487" s="122"/>
      <c r="O487" s="122"/>
      <c r="P487" s="122"/>
      <c r="Q487" s="122"/>
      <c r="R487" s="122"/>
      <c r="S487" s="122"/>
      <c r="T487" s="122"/>
      <c r="U487" s="122"/>
      <c r="V487" s="122"/>
      <c r="W487" s="122"/>
      <c r="X487" s="122"/>
      <c r="Y487" s="122"/>
    </row>
    <row r="488" spans="1:25" ht="15.75" customHeight="1" x14ac:dyDescent="0.2">
      <c r="A488" s="181"/>
      <c r="B488" s="174"/>
      <c r="C488" s="175"/>
      <c r="D488" s="175"/>
      <c r="E488" s="175"/>
      <c r="F488" s="122"/>
      <c r="G488" s="122"/>
      <c r="H488" s="122"/>
      <c r="I488" s="122"/>
      <c r="J488" s="173"/>
      <c r="K488" s="181"/>
      <c r="L488" s="122"/>
      <c r="M488" s="122"/>
      <c r="N488" s="122"/>
      <c r="O488" s="122"/>
      <c r="P488" s="122"/>
      <c r="Q488" s="122"/>
      <c r="R488" s="122"/>
      <c r="S488" s="122"/>
      <c r="T488" s="122"/>
      <c r="U488" s="122"/>
      <c r="V488" s="122"/>
      <c r="W488" s="122"/>
      <c r="X488" s="122"/>
      <c r="Y488" s="122"/>
    </row>
    <row r="489" spans="1:25" ht="15.75" customHeight="1" x14ac:dyDescent="0.2">
      <c r="A489" s="181"/>
      <c r="B489" s="174"/>
      <c r="C489" s="175"/>
      <c r="D489" s="175"/>
      <c r="E489" s="175"/>
      <c r="F489" s="122"/>
      <c r="G489" s="122"/>
      <c r="H489" s="122"/>
      <c r="I489" s="122"/>
      <c r="J489" s="173"/>
      <c r="K489" s="181"/>
      <c r="L489" s="122"/>
      <c r="M489" s="122"/>
      <c r="N489" s="122"/>
      <c r="O489" s="122"/>
      <c r="P489" s="122"/>
      <c r="Q489" s="122"/>
      <c r="R489" s="122"/>
      <c r="S489" s="122"/>
      <c r="T489" s="122"/>
      <c r="U489" s="122"/>
      <c r="V489" s="122"/>
      <c r="W489" s="122"/>
      <c r="X489" s="122"/>
      <c r="Y489" s="122"/>
    </row>
    <row r="490" spans="1:25" ht="15.75" customHeight="1" x14ac:dyDescent="0.2">
      <c r="A490" s="181"/>
      <c r="B490" s="174"/>
      <c r="C490" s="175"/>
      <c r="D490" s="175"/>
      <c r="E490" s="175"/>
      <c r="F490" s="122"/>
      <c r="G490" s="122"/>
      <c r="H490" s="122"/>
      <c r="I490" s="122"/>
      <c r="J490" s="173"/>
      <c r="K490" s="181"/>
      <c r="L490" s="122"/>
      <c r="M490" s="122"/>
      <c r="N490" s="122"/>
      <c r="O490" s="122"/>
      <c r="P490" s="122"/>
      <c r="Q490" s="122"/>
      <c r="R490" s="122"/>
      <c r="S490" s="122"/>
      <c r="T490" s="122"/>
      <c r="U490" s="122"/>
      <c r="V490" s="122"/>
      <c r="W490" s="122"/>
      <c r="X490" s="122"/>
      <c r="Y490" s="122"/>
    </row>
    <row r="491" spans="1:25" ht="15.75" customHeight="1" x14ac:dyDescent="0.2">
      <c r="A491" s="181"/>
      <c r="B491" s="174"/>
      <c r="C491" s="175"/>
      <c r="D491" s="175"/>
      <c r="E491" s="175"/>
      <c r="F491" s="122"/>
      <c r="G491" s="122"/>
      <c r="H491" s="122"/>
      <c r="I491" s="122"/>
      <c r="J491" s="173"/>
      <c r="K491" s="181"/>
      <c r="L491" s="122"/>
      <c r="M491" s="122"/>
      <c r="N491" s="122"/>
      <c r="O491" s="122"/>
      <c r="P491" s="122"/>
      <c r="Q491" s="122"/>
      <c r="R491" s="122"/>
      <c r="S491" s="122"/>
      <c r="T491" s="122"/>
      <c r="U491" s="122"/>
      <c r="V491" s="122"/>
      <c r="W491" s="122"/>
      <c r="X491" s="122"/>
      <c r="Y491" s="122"/>
    </row>
    <row r="492" spans="1:25" ht="15.75" customHeight="1" x14ac:dyDescent="0.2">
      <c r="A492" s="181"/>
      <c r="B492" s="174"/>
      <c r="C492" s="175"/>
      <c r="D492" s="175"/>
      <c r="E492" s="175"/>
      <c r="F492" s="122"/>
      <c r="G492" s="122"/>
      <c r="H492" s="122"/>
      <c r="I492" s="122"/>
      <c r="J492" s="173"/>
      <c r="K492" s="181"/>
      <c r="L492" s="122"/>
      <c r="M492" s="122"/>
      <c r="N492" s="122"/>
      <c r="O492" s="122"/>
      <c r="P492" s="122"/>
      <c r="Q492" s="122"/>
      <c r="R492" s="122"/>
      <c r="S492" s="122"/>
      <c r="T492" s="122"/>
      <c r="U492" s="122"/>
      <c r="V492" s="122"/>
      <c r="W492" s="122"/>
      <c r="X492" s="122"/>
      <c r="Y492" s="122"/>
    </row>
    <row r="493" spans="1:25" ht="15.75" customHeight="1" x14ac:dyDescent="0.2">
      <c r="A493" s="181"/>
      <c r="B493" s="174"/>
      <c r="C493" s="175"/>
      <c r="D493" s="175"/>
      <c r="E493" s="175"/>
      <c r="F493" s="122"/>
      <c r="G493" s="122"/>
      <c r="H493" s="122"/>
      <c r="I493" s="122"/>
      <c r="J493" s="173"/>
      <c r="K493" s="181"/>
      <c r="L493" s="122"/>
      <c r="M493" s="122"/>
      <c r="N493" s="122"/>
      <c r="O493" s="122"/>
      <c r="P493" s="122"/>
      <c r="Q493" s="122"/>
      <c r="R493" s="122"/>
      <c r="S493" s="122"/>
      <c r="T493" s="122"/>
      <c r="U493" s="122"/>
      <c r="V493" s="122"/>
      <c r="W493" s="122"/>
      <c r="X493" s="122"/>
      <c r="Y493" s="122"/>
    </row>
    <row r="494" spans="1:25" ht="15.75" customHeight="1" x14ac:dyDescent="0.2">
      <c r="A494" s="181"/>
      <c r="B494" s="174"/>
      <c r="C494" s="175"/>
      <c r="D494" s="175"/>
      <c r="E494" s="175"/>
      <c r="F494" s="122"/>
      <c r="G494" s="122"/>
      <c r="H494" s="122"/>
      <c r="I494" s="122"/>
      <c r="J494" s="173"/>
      <c r="K494" s="181"/>
      <c r="L494" s="122"/>
      <c r="M494" s="122"/>
      <c r="N494" s="122"/>
      <c r="O494" s="122"/>
      <c r="P494" s="122"/>
      <c r="Q494" s="122"/>
      <c r="R494" s="122"/>
      <c r="S494" s="122"/>
      <c r="T494" s="122"/>
      <c r="U494" s="122"/>
      <c r="V494" s="122"/>
      <c r="W494" s="122"/>
      <c r="X494" s="122"/>
      <c r="Y494" s="122"/>
    </row>
    <row r="495" spans="1:25" ht="15.75" customHeight="1" x14ac:dyDescent="0.2">
      <c r="A495" s="181"/>
      <c r="B495" s="174"/>
      <c r="C495" s="175"/>
      <c r="D495" s="175"/>
      <c r="E495" s="175"/>
      <c r="F495" s="122"/>
      <c r="G495" s="122"/>
      <c r="H495" s="122"/>
      <c r="I495" s="122"/>
      <c r="J495" s="173"/>
      <c r="K495" s="181"/>
      <c r="L495" s="122"/>
      <c r="M495" s="122"/>
      <c r="N495" s="122"/>
      <c r="O495" s="122"/>
      <c r="P495" s="122"/>
      <c r="Q495" s="122"/>
      <c r="R495" s="122"/>
      <c r="S495" s="122"/>
      <c r="T495" s="122"/>
      <c r="U495" s="122"/>
      <c r="V495" s="122"/>
      <c r="W495" s="122"/>
      <c r="X495" s="122"/>
      <c r="Y495" s="122"/>
    </row>
    <row r="496" spans="1:25" ht="15.75" customHeight="1" x14ac:dyDescent="0.2">
      <c r="A496" s="181"/>
      <c r="B496" s="174"/>
      <c r="C496" s="175"/>
      <c r="D496" s="175"/>
      <c r="E496" s="175"/>
      <c r="F496" s="122"/>
      <c r="G496" s="122"/>
      <c r="H496" s="122"/>
      <c r="I496" s="122"/>
      <c r="J496" s="173"/>
      <c r="K496" s="181"/>
      <c r="L496" s="122"/>
      <c r="M496" s="122"/>
      <c r="N496" s="122"/>
      <c r="O496" s="122"/>
      <c r="P496" s="122"/>
      <c r="Q496" s="122"/>
      <c r="R496" s="122"/>
      <c r="S496" s="122"/>
      <c r="T496" s="122"/>
      <c r="U496" s="122"/>
      <c r="V496" s="122"/>
      <c r="W496" s="122"/>
      <c r="X496" s="122"/>
      <c r="Y496" s="122"/>
    </row>
    <row r="497" spans="1:25" ht="15.75" customHeight="1" x14ac:dyDescent="0.2">
      <c r="A497" s="181"/>
      <c r="B497" s="174"/>
      <c r="C497" s="175"/>
      <c r="D497" s="175"/>
      <c r="E497" s="175"/>
      <c r="F497" s="122"/>
      <c r="G497" s="122"/>
      <c r="H497" s="122"/>
      <c r="I497" s="122"/>
      <c r="J497" s="173"/>
      <c r="K497" s="181"/>
      <c r="L497" s="122"/>
      <c r="M497" s="122"/>
      <c r="N497" s="122"/>
      <c r="O497" s="122"/>
      <c r="P497" s="122"/>
      <c r="Q497" s="122"/>
      <c r="R497" s="122"/>
      <c r="S497" s="122"/>
      <c r="T497" s="122"/>
      <c r="U497" s="122"/>
      <c r="V497" s="122"/>
      <c r="W497" s="122"/>
      <c r="X497" s="122"/>
      <c r="Y497" s="122"/>
    </row>
    <row r="498" spans="1:25" ht="15.75" customHeight="1" x14ac:dyDescent="0.2">
      <c r="A498" s="181"/>
      <c r="B498" s="174"/>
      <c r="C498" s="175"/>
      <c r="D498" s="175"/>
      <c r="E498" s="175"/>
      <c r="F498" s="122"/>
      <c r="G498" s="122"/>
      <c r="H498" s="122"/>
      <c r="I498" s="122"/>
      <c r="J498" s="173"/>
      <c r="K498" s="181"/>
      <c r="L498" s="122"/>
      <c r="M498" s="122"/>
      <c r="N498" s="122"/>
      <c r="O498" s="122"/>
      <c r="P498" s="122"/>
      <c r="Q498" s="122"/>
      <c r="R498" s="122"/>
      <c r="S498" s="122"/>
      <c r="T498" s="122"/>
      <c r="U498" s="122"/>
      <c r="V498" s="122"/>
      <c r="W498" s="122"/>
      <c r="X498" s="122"/>
      <c r="Y498" s="122"/>
    </row>
    <row r="499" spans="1:25" ht="15.75" customHeight="1" x14ac:dyDescent="0.2">
      <c r="A499" s="181"/>
      <c r="B499" s="174"/>
      <c r="C499" s="175"/>
      <c r="D499" s="175"/>
      <c r="E499" s="175"/>
      <c r="F499" s="122"/>
      <c r="G499" s="122"/>
      <c r="H499" s="122"/>
      <c r="I499" s="122"/>
      <c r="J499" s="173"/>
      <c r="K499" s="181"/>
      <c r="L499" s="122"/>
      <c r="M499" s="122"/>
      <c r="N499" s="122"/>
      <c r="O499" s="122"/>
      <c r="P499" s="122"/>
      <c r="Q499" s="122"/>
      <c r="R499" s="122"/>
      <c r="S499" s="122"/>
      <c r="T499" s="122"/>
      <c r="U499" s="122"/>
      <c r="V499" s="122"/>
      <c r="W499" s="122"/>
      <c r="X499" s="122"/>
      <c r="Y499" s="122"/>
    </row>
    <row r="500" spans="1:25" ht="15.75" customHeight="1" x14ac:dyDescent="0.2">
      <c r="A500" s="181"/>
      <c r="B500" s="174"/>
      <c r="C500" s="175"/>
      <c r="D500" s="175"/>
      <c r="E500" s="175"/>
      <c r="F500" s="122"/>
      <c r="G500" s="122"/>
      <c r="H500" s="122"/>
      <c r="I500" s="122"/>
      <c r="J500" s="173"/>
      <c r="K500" s="181"/>
      <c r="L500" s="122"/>
      <c r="M500" s="122"/>
      <c r="N500" s="122"/>
      <c r="O500" s="122"/>
      <c r="P500" s="122"/>
      <c r="Q500" s="122"/>
      <c r="R500" s="122"/>
      <c r="S500" s="122"/>
      <c r="T500" s="122"/>
      <c r="U500" s="122"/>
      <c r="V500" s="122"/>
      <c r="W500" s="122"/>
      <c r="X500" s="122"/>
      <c r="Y500" s="122"/>
    </row>
    <row r="501" spans="1:25" ht="15.75" customHeight="1" x14ac:dyDescent="0.2">
      <c r="A501" s="181"/>
      <c r="B501" s="174"/>
      <c r="C501" s="175"/>
      <c r="D501" s="175"/>
      <c r="E501" s="175"/>
      <c r="F501" s="122"/>
      <c r="G501" s="122"/>
      <c r="H501" s="122"/>
      <c r="I501" s="122"/>
      <c r="J501" s="173"/>
      <c r="K501" s="181"/>
      <c r="L501" s="122"/>
      <c r="M501" s="122"/>
      <c r="N501" s="122"/>
      <c r="O501" s="122"/>
      <c r="P501" s="122"/>
      <c r="Q501" s="122"/>
      <c r="R501" s="122"/>
      <c r="S501" s="122"/>
      <c r="T501" s="122"/>
      <c r="U501" s="122"/>
      <c r="V501" s="122"/>
      <c r="W501" s="122"/>
      <c r="X501" s="122"/>
      <c r="Y501" s="122"/>
    </row>
    <row r="502" spans="1:25" ht="15.75" customHeight="1" x14ac:dyDescent="0.2">
      <c r="A502" s="181"/>
      <c r="B502" s="174"/>
      <c r="C502" s="175"/>
      <c r="D502" s="175"/>
      <c r="E502" s="175"/>
      <c r="F502" s="122"/>
      <c r="G502" s="122"/>
      <c r="H502" s="122"/>
      <c r="I502" s="122"/>
      <c r="J502" s="173"/>
      <c r="K502" s="181"/>
      <c r="L502" s="122"/>
      <c r="M502" s="122"/>
      <c r="N502" s="122"/>
      <c r="O502" s="122"/>
      <c r="P502" s="122"/>
      <c r="Q502" s="122"/>
      <c r="R502" s="122"/>
      <c r="S502" s="122"/>
      <c r="T502" s="122"/>
      <c r="U502" s="122"/>
      <c r="V502" s="122"/>
      <c r="W502" s="122"/>
      <c r="X502" s="122"/>
      <c r="Y502" s="122"/>
    </row>
    <row r="503" spans="1:25" ht="15.75" customHeight="1" x14ac:dyDescent="0.2">
      <c r="A503" s="181"/>
      <c r="B503" s="174"/>
      <c r="C503" s="175"/>
      <c r="D503" s="175"/>
      <c r="E503" s="175"/>
      <c r="F503" s="122"/>
      <c r="G503" s="122"/>
      <c r="H503" s="122"/>
      <c r="I503" s="122"/>
      <c r="J503" s="173"/>
      <c r="K503" s="181"/>
      <c r="L503" s="122"/>
      <c r="M503" s="122"/>
      <c r="N503" s="122"/>
      <c r="O503" s="122"/>
      <c r="P503" s="122"/>
      <c r="Q503" s="122"/>
      <c r="R503" s="122"/>
      <c r="S503" s="122"/>
      <c r="T503" s="122"/>
      <c r="U503" s="122"/>
      <c r="V503" s="122"/>
      <c r="W503" s="122"/>
      <c r="X503" s="122"/>
      <c r="Y503" s="122"/>
    </row>
    <row r="504" spans="1:25" ht="15.75" customHeight="1" x14ac:dyDescent="0.2">
      <c r="A504" s="181"/>
      <c r="B504" s="174"/>
      <c r="C504" s="175"/>
      <c r="D504" s="175"/>
      <c r="E504" s="175"/>
      <c r="F504" s="122"/>
      <c r="G504" s="122"/>
      <c r="H504" s="122"/>
      <c r="I504" s="122"/>
      <c r="J504" s="173"/>
      <c r="K504" s="181"/>
      <c r="L504" s="122"/>
      <c r="M504" s="122"/>
      <c r="N504" s="122"/>
      <c r="O504" s="122"/>
      <c r="P504" s="122"/>
      <c r="Q504" s="122"/>
      <c r="R504" s="122"/>
      <c r="S504" s="122"/>
      <c r="T504" s="122"/>
      <c r="U504" s="122"/>
      <c r="V504" s="122"/>
      <c r="W504" s="122"/>
      <c r="X504" s="122"/>
      <c r="Y504" s="122"/>
    </row>
    <row r="505" spans="1:25" ht="15.75" customHeight="1" x14ac:dyDescent="0.2">
      <c r="A505" s="181"/>
      <c r="B505" s="174"/>
      <c r="C505" s="175"/>
      <c r="D505" s="175"/>
      <c r="E505" s="175"/>
      <c r="F505" s="122"/>
      <c r="G505" s="122"/>
      <c r="H505" s="122"/>
      <c r="I505" s="122"/>
      <c r="J505" s="173"/>
      <c r="K505" s="181"/>
      <c r="L505" s="122"/>
      <c r="M505" s="122"/>
      <c r="N505" s="122"/>
      <c r="O505" s="122"/>
      <c r="P505" s="122"/>
      <c r="Q505" s="122"/>
      <c r="R505" s="122"/>
      <c r="S505" s="122"/>
      <c r="T505" s="122"/>
      <c r="U505" s="122"/>
      <c r="V505" s="122"/>
      <c r="W505" s="122"/>
      <c r="X505" s="122"/>
      <c r="Y505" s="122"/>
    </row>
    <row r="506" spans="1:25" ht="15.75" customHeight="1" x14ac:dyDescent="0.2">
      <c r="A506" s="181"/>
      <c r="B506" s="174"/>
      <c r="C506" s="175"/>
      <c r="D506" s="175"/>
      <c r="E506" s="175"/>
      <c r="F506" s="122"/>
      <c r="G506" s="122"/>
      <c r="H506" s="122"/>
      <c r="I506" s="122"/>
      <c r="J506" s="173"/>
      <c r="K506" s="181"/>
      <c r="L506" s="122"/>
      <c r="M506" s="122"/>
      <c r="N506" s="122"/>
      <c r="O506" s="122"/>
      <c r="P506" s="122"/>
      <c r="Q506" s="122"/>
      <c r="R506" s="122"/>
      <c r="S506" s="122"/>
      <c r="T506" s="122"/>
      <c r="U506" s="122"/>
      <c r="V506" s="122"/>
      <c r="W506" s="122"/>
      <c r="X506" s="122"/>
      <c r="Y506" s="122"/>
    </row>
    <row r="507" spans="1:25" ht="15.75" customHeight="1" x14ac:dyDescent="0.2">
      <c r="A507" s="181"/>
      <c r="B507" s="174"/>
      <c r="C507" s="175"/>
      <c r="D507" s="175"/>
      <c r="E507" s="175"/>
      <c r="F507" s="122"/>
      <c r="G507" s="122"/>
      <c r="H507" s="122"/>
      <c r="I507" s="122"/>
      <c r="J507" s="173"/>
      <c r="K507" s="181"/>
      <c r="L507" s="122"/>
      <c r="M507" s="122"/>
      <c r="N507" s="122"/>
      <c r="O507" s="122"/>
      <c r="P507" s="122"/>
      <c r="Q507" s="122"/>
      <c r="R507" s="122"/>
      <c r="S507" s="122"/>
      <c r="T507" s="122"/>
      <c r="U507" s="122"/>
      <c r="V507" s="122"/>
      <c r="W507" s="122"/>
      <c r="X507" s="122"/>
      <c r="Y507" s="122"/>
    </row>
    <row r="508" spans="1:25" ht="15.75" customHeight="1" x14ac:dyDescent="0.2">
      <c r="A508" s="181"/>
      <c r="B508" s="174"/>
      <c r="C508" s="175"/>
      <c r="D508" s="175"/>
      <c r="E508" s="175"/>
      <c r="F508" s="122"/>
      <c r="G508" s="122"/>
      <c r="H508" s="122"/>
      <c r="I508" s="122"/>
      <c r="J508" s="173"/>
      <c r="K508" s="181"/>
      <c r="L508" s="122"/>
      <c r="M508" s="122"/>
      <c r="N508" s="122"/>
      <c r="O508" s="122"/>
      <c r="P508" s="122"/>
      <c r="Q508" s="122"/>
      <c r="R508" s="122"/>
      <c r="S508" s="122"/>
      <c r="T508" s="122"/>
      <c r="U508" s="122"/>
      <c r="V508" s="122"/>
      <c r="W508" s="122"/>
      <c r="X508" s="122"/>
      <c r="Y508" s="122"/>
    </row>
    <row r="509" spans="1:25" ht="15.75" customHeight="1" x14ac:dyDescent="0.2">
      <c r="A509" s="181"/>
      <c r="B509" s="174"/>
      <c r="C509" s="175"/>
      <c r="D509" s="175"/>
      <c r="E509" s="175"/>
      <c r="F509" s="122"/>
      <c r="G509" s="122"/>
      <c r="H509" s="122"/>
      <c r="I509" s="122"/>
      <c r="J509" s="173"/>
      <c r="K509" s="181"/>
      <c r="L509" s="122"/>
      <c r="M509" s="122"/>
      <c r="N509" s="122"/>
      <c r="O509" s="122"/>
      <c r="P509" s="122"/>
      <c r="Q509" s="122"/>
      <c r="R509" s="122"/>
      <c r="S509" s="122"/>
      <c r="T509" s="122"/>
      <c r="U509" s="122"/>
      <c r="V509" s="122"/>
      <c r="W509" s="122"/>
      <c r="X509" s="122"/>
      <c r="Y509" s="122"/>
    </row>
    <row r="510" spans="1:25" ht="15.75" customHeight="1" x14ac:dyDescent="0.2">
      <c r="A510" s="181"/>
      <c r="B510" s="174"/>
      <c r="C510" s="175"/>
      <c r="D510" s="175"/>
      <c r="E510" s="175"/>
      <c r="F510" s="122"/>
      <c r="G510" s="122"/>
      <c r="H510" s="122"/>
      <c r="I510" s="122"/>
      <c r="J510" s="173"/>
      <c r="K510" s="181"/>
      <c r="L510" s="122"/>
      <c r="M510" s="122"/>
      <c r="N510" s="122"/>
      <c r="O510" s="122"/>
      <c r="P510" s="122"/>
      <c r="Q510" s="122"/>
      <c r="R510" s="122"/>
      <c r="S510" s="122"/>
      <c r="T510" s="122"/>
      <c r="U510" s="122"/>
      <c r="V510" s="122"/>
      <c r="W510" s="122"/>
      <c r="X510" s="122"/>
      <c r="Y510" s="122"/>
    </row>
    <row r="511" spans="1:25" ht="15.75" customHeight="1" x14ac:dyDescent="0.2">
      <c r="A511" s="181"/>
      <c r="B511" s="174"/>
      <c r="C511" s="175"/>
      <c r="D511" s="175"/>
      <c r="E511" s="175"/>
      <c r="F511" s="122"/>
      <c r="G511" s="122"/>
      <c r="H511" s="122"/>
      <c r="I511" s="122"/>
      <c r="J511" s="173"/>
      <c r="K511" s="181"/>
      <c r="L511" s="122"/>
      <c r="M511" s="122"/>
      <c r="N511" s="122"/>
      <c r="O511" s="122"/>
      <c r="P511" s="122"/>
      <c r="Q511" s="122"/>
      <c r="R511" s="122"/>
      <c r="S511" s="122"/>
      <c r="T511" s="122"/>
      <c r="U511" s="122"/>
      <c r="V511" s="122"/>
      <c r="W511" s="122"/>
      <c r="X511" s="122"/>
      <c r="Y511" s="122"/>
    </row>
    <row r="512" spans="1:25" ht="15.75" customHeight="1" x14ac:dyDescent="0.2">
      <c r="A512" s="181"/>
      <c r="B512" s="174"/>
      <c r="C512" s="175"/>
      <c r="D512" s="175"/>
      <c r="E512" s="175"/>
      <c r="F512" s="122"/>
      <c r="G512" s="122"/>
      <c r="H512" s="122"/>
      <c r="I512" s="122"/>
      <c r="J512" s="173"/>
      <c r="K512" s="181"/>
      <c r="L512" s="122"/>
      <c r="M512" s="122"/>
      <c r="N512" s="122"/>
      <c r="O512" s="122"/>
      <c r="P512" s="122"/>
      <c r="Q512" s="122"/>
      <c r="R512" s="122"/>
      <c r="S512" s="122"/>
      <c r="T512" s="122"/>
      <c r="U512" s="122"/>
      <c r="V512" s="122"/>
      <c r="W512" s="122"/>
      <c r="X512" s="122"/>
      <c r="Y512" s="122"/>
    </row>
    <row r="513" spans="1:25" ht="15.75" customHeight="1" x14ac:dyDescent="0.2">
      <c r="A513" s="181"/>
      <c r="B513" s="174"/>
      <c r="C513" s="175"/>
      <c r="D513" s="175"/>
      <c r="E513" s="175"/>
      <c r="F513" s="122"/>
      <c r="G513" s="122"/>
      <c r="H513" s="122"/>
      <c r="I513" s="122"/>
      <c r="J513" s="173"/>
      <c r="K513" s="181"/>
      <c r="L513" s="122"/>
      <c r="M513" s="122"/>
      <c r="N513" s="122"/>
      <c r="O513" s="122"/>
      <c r="P513" s="122"/>
      <c r="Q513" s="122"/>
      <c r="R513" s="122"/>
      <c r="S513" s="122"/>
      <c r="T513" s="122"/>
      <c r="U513" s="122"/>
      <c r="V513" s="122"/>
      <c r="W513" s="122"/>
      <c r="X513" s="122"/>
      <c r="Y513" s="122"/>
    </row>
    <row r="514" spans="1:25" ht="15.75" customHeight="1" x14ac:dyDescent="0.2">
      <c r="A514" s="181"/>
      <c r="B514" s="174"/>
      <c r="C514" s="175"/>
      <c r="D514" s="175"/>
      <c r="E514" s="175"/>
      <c r="F514" s="122"/>
      <c r="G514" s="122"/>
      <c r="H514" s="122"/>
      <c r="I514" s="122"/>
      <c r="J514" s="173"/>
      <c r="K514" s="181"/>
      <c r="L514" s="122"/>
      <c r="M514" s="122"/>
      <c r="N514" s="122"/>
      <c r="O514" s="122"/>
      <c r="P514" s="122"/>
      <c r="Q514" s="122"/>
      <c r="R514" s="122"/>
      <c r="S514" s="122"/>
      <c r="T514" s="122"/>
      <c r="U514" s="122"/>
      <c r="V514" s="122"/>
      <c r="W514" s="122"/>
      <c r="X514" s="122"/>
      <c r="Y514" s="122"/>
    </row>
    <row r="515" spans="1:25" ht="15.75" customHeight="1" x14ac:dyDescent="0.2">
      <c r="A515" s="181"/>
      <c r="B515" s="174"/>
      <c r="C515" s="175"/>
      <c r="D515" s="175"/>
      <c r="E515" s="175"/>
      <c r="F515" s="122"/>
      <c r="G515" s="122"/>
      <c r="H515" s="122"/>
      <c r="I515" s="122"/>
      <c r="J515" s="173"/>
      <c r="K515" s="181"/>
      <c r="L515" s="122"/>
      <c r="M515" s="122"/>
      <c r="N515" s="122"/>
      <c r="O515" s="122"/>
      <c r="P515" s="122"/>
      <c r="Q515" s="122"/>
      <c r="R515" s="122"/>
      <c r="S515" s="122"/>
      <c r="T515" s="122"/>
      <c r="U515" s="122"/>
      <c r="V515" s="122"/>
      <c r="W515" s="122"/>
      <c r="X515" s="122"/>
      <c r="Y515" s="122"/>
    </row>
    <row r="516" spans="1:25" ht="15.75" customHeight="1" x14ac:dyDescent="0.2">
      <c r="A516" s="181"/>
      <c r="B516" s="174"/>
      <c r="C516" s="175"/>
      <c r="D516" s="175"/>
      <c r="E516" s="175"/>
      <c r="F516" s="122"/>
      <c r="G516" s="122"/>
      <c r="H516" s="122"/>
      <c r="I516" s="122"/>
      <c r="J516" s="173"/>
      <c r="K516" s="181"/>
      <c r="L516" s="122"/>
      <c r="M516" s="122"/>
      <c r="N516" s="122"/>
      <c r="O516" s="122"/>
      <c r="P516" s="122"/>
      <c r="Q516" s="122"/>
      <c r="R516" s="122"/>
      <c r="S516" s="122"/>
      <c r="T516" s="122"/>
      <c r="U516" s="122"/>
      <c r="V516" s="122"/>
      <c r="W516" s="122"/>
      <c r="X516" s="122"/>
      <c r="Y516" s="122"/>
    </row>
    <row r="517" spans="1:25" ht="15.75" customHeight="1" x14ac:dyDescent="0.2">
      <c r="A517" s="181"/>
      <c r="B517" s="174"/>
      <c r="C517" s="175"/>
      <c r="D517" s="175"/>
      <c r="E517" s="175"/>
      <c r="F517" s="122"/>
      <c r="G517" s="122"/>
      <c r="H517" s="122"/>
      <c r="I517" s="122"/>
      <c r="J517" s="173"/>
      <c r="K517" s="181"/>
      <c r="L517" s="122"/>
      <c r="M517" s="122"/>
      <c r="N517" s="122"/>
      <c r="O517" s="122"/>
      <c r="P517" s="122"/>
      <c r="Q517" s="122"/>
      <c r="R517" s="122"/>
      <c r="S517" s="122"/>
      <c r="T517" s="122"/>
      <c r="U517" s="122"/>
      <c r="V517" s="122"/>
      <c r="W517" s="122"/>
      <c r="X517" s="122"/>
      <c r="Y517" s="122"/>
    </row>
    <row r="518" spans="1:25" ht="15.75" customHeight="1" x14ac:dyDescent="0.2">
      <c r="A518" s="181"/>
      <c r="B518" s="174"/>
      <c r="C518" s="175"/>
      <c r="D518" s="175"/>
      <c r="E518" s="175"/>
      <c r="F518" s="122"/>
      <c r="G518" s="122"/>
      <c r="H518" s="122"/>
      <c r="I518" s="122"/>
      <c r="J518" s="173"/>
      <c r="K518" s="181"/>
      <c r="L518" s="122"/>
      <c r="M518" s="122"/>
      <c r="N518" s="122"/>
      <c r="O518" s="122"/>
      <c r="P518" s="122"/>
      <c r="Q518" s="122"/>
      <c r="R518" s="122"/>
      <c r="S518" s="122"/>
      <c r="T518" s="122"/>
      <c r="U518" s="122"/>
      <c r="V518" s="122"/>
      <c r="W518" s="122"/>
      <c r="X518" s="122"/>
      <c r="Y518" s="122"/>
    </row>
    <row r="519" spans="1:25" ht="15.75" customHeight="1" x14ac:dyDescent="0.2">
      <c r="A519" s="181"/>
      <c r="B519" s="174"/>
      <c r="C519" s="175"/>
      <c r="D519" s="175"/>
      <c r="E519" s="175"/>
      <c r="F519" s="122"/>
      <c r="G519" s="122"/>
      <c r="H519" s="122"/>
      <c r="I519" s="122"/>
      <c r="J519" s="173"/>
      <c r="K519" s="181"/>
      <c r="L519" s="122"/>
      <c r="M519" s="122"/>
      <c r="N519" s="122"/>
      <c r="O519" s="122"/>
      <c r="P519" s="122"/>
      <c r="Q519" s="122"/>
      <c r="R519" s="122"/>
      <c r="S519" s="122"/>
      <c r="T519" s="122"/>
      <c r="U519" s="122"/>
      <c r="V519" s="122"/>
      <c r="W519" s="122"/>
      <c r="X519" s="122"/>
      <c r="Y519" s="122"/>
    </row>
    <row r="520" spans="1:25" ht="15.75" customHeight="1" x14ac:dyDescent="0.2">
      <c r="A520" s="181"/>
      <c r="B520" s="174"/>
      <c r="C520" s="175"/>
      <c r="D520" s="175"/>
      <c r="E520" s="175"/>
      <c r="F520" s="122"/>
      <c r="G520" s="122"/>
      <c r="H520" s="122"/>
      <c r="I520" s="122"/>
      <c r="J520" s="173"/>
      <c r="K520" s="181"/>
      <c r="L520" s="122"/>
      <c r="M520" s="122"/>
      <c r="N520" s="122"/>
      <c r="O520" s="122"/>
      <c r="P520" s="122"/>
      <c r="Q520" s="122"/>
      <c r="R520" s="122"/>
      <c r="S520" s="122"/>
      <c r="T520" s="122"/>
      <c r="U520" s="122"/>
      <c r="V520" s="122"/>
      <c r="W520" s="122"/>
      <c r="X520" s="122"/>
      <c r="Y520" s="122"/>
    </row>
    <row r="521" spans="1:25" ht="15.75" customHeight="1" x14ac:dyDescent="0.2">
      <c r="A521" s="181"/>
      <c r="B521" s="174"/>
      <c r="C521" s="175"/>
      <c r="D521" s="175"/>
      <c r="E521" s="175"/>
      <c r="F521" s="122"/>
      <c r="G521" s="122"/>
      <c r="H521" s="122"/>
      <c r="I521" s="122"/>
      <c r="J521" s="173"/>
      <c r="K521" s="181"/>
      <c r="L521" s="122"/>
      <c r="M521" s="122"/>
      <c r="N521" s="122"/>
      <c r="O521" s="122"/>
      <c r="P521" s="122"/>
      <c r="Q521" s="122"/>
      <c r="R521" s="122"/>
      <c r="S521" s="122"/>
      <c r="T521" s="122"/>
      <c r="U521" s="122"/>
      <c r="V521" s="122"/>
      <c r="W521" s="122"/>
      <c r="X521" s="122"/>
      <c r="Y521" s="122"/>
    </row>
    <row r="522" spans="1:25" ht="15.75" customHeight="1" x14ac:dyDescent="0.2">
      <c r="A522" s="181"/>
      <c r="B522" s="174"/>
      <c r="C522" s="175"/>
      <c r="D522" s="175"/>
      <c r="E522" s="175"/>
      <c r="F522" s="122"/>
      <c r="G522" s="122"/>
      <c r="H522" s="122"/>
      <c r="I522" s="122"/>
      <c r="J522" s="173"/>
      <c r="K522" s="181"/>
      <c r="L522" s="122"/>
      <c r="M522" s="122"/>
      <c r="N522" s="122"/>
      <c r="O522" s="122"/>
      <c r="P522" s="122"/>
      <c r="Q522" s="122"/>
      <c r="R522" s="122"/>
      <c r="S522" s="122"/>
      <c r="T522" s="122"/>
      <c r="U522" s="122"/>
      <c r="V522" s="122"/>
      <c r="W522" s="122"/>
      <c r="X522" s="122"/>
      <c r="Y522" s="122"/>
    </row>
    <row r="523" spans="1:25" ht="15.75" customHeight="1" x14ac:dyDescent="0.2">
      <c r="A523" s="181"/>
      <c r="B523" s="174"/>
      <c r="C523" s="175"/>
      <c r="D523" s="175"/>
      <c r="E523" s="175"/>
      <c r="F523" s="122"/>
      <c r="G523" s="122"/>
      <c r="H523" s="122"/>
      <c r="I523" s="122"/>
      <c r="J523" s="173"/>
      <c r="K523" s="181"/>
      <c r="L523" s="122"/>
      <c r="M523" s="122"/>
      <c r="N523" s="122"/>
      <c r="O523" s="122"/>
      <c r="P523" s="122"/>
      <c r="Q523" s="122"/>
      <c r="R523" s="122"/>
      <c r="S523" s="122"/>
      <c r="T523" s="122"/>
      <c r="U523" s="122"/>
      <c r="V523" s="122"/>
      <c r="W523" s="122"/>
      <c r="X523" s="122"/>
      <c r="Y523" s="122"/>
    </row>
    <row r="524" spans="1:25" ht="15.75" customHeight="1" x14ac:dyDescent="0.2">
      <c r="A524" s="181"/>
      <c r="B524" s="174"/>
      <c r="C524" s="175"/>
      <c r="D524" s="175"/>
      <c r="E524" s="175"/>
      <c r="F524" s="122"/>
      <c r="G524" s="122"/>
      <c r="H524" s="122"/>
      <c r="I524" s="122"/>
      <c r="J524" s="173"/>
      <c r="K524" s="181"/>
      <c r="L524" s="122"/>
      <c r="M524" s="122"/>
      <c r="N524" s="122"/>
      <c r="O524" s="122"/>
      <c r="P524" s="122"/>
      <c r="Q524" s="122"/>
      <c r="R524" s="122"/>
      <c r="S524" s="122"/>
      <c r="T524" s="122"/>
      <c r="U524" s="122"/>
      <c r="V524" s="122"/>
      <c r="W524" s="122"/>
      <c r="X524" s="122"/>
      <c r="Y524" s="122"/>
    </row>
    <row r="525" spans="1:25" ht="15.75" customHeight="1" x14ac:dyDescent="0.2">
      <c r="A525" s="181"/>
      <c r="B525" s="174"/>
      <c r="C525" s="175"/>
      <c r="D525" s="175"/>
      <c r="E525" s="175"/>
      <c r="F525" s="122"/>
      <c r="G525" s="122"/>
      <c r="H525" s="122"/>
      <c r="I525" s="122"/>
      <c r="J525" s="173"/>
      <c r="K525" s="181"/>
      <c r="L525" s="122"/>
      <c r="M525" s="122"/>
      <c r="N525" s="122"/>
      <c r="O525" s="122"/>
      <c r="P525" s="122"/>
      <c r="Q525" s="122"/>
      <c r="R525" s="122"/>
      <c r="S525" s="122"/>
      <c r="T525" s="122"/>
      <c r="U525" s="122"/>
      <c r="V525" s="122"/>
      <c r="W525" s="122"/>
      <c r="X525" s="122"/>
      <c r="Y525" s="122"/>
    </row>
    <row r="526" spans="1:25" ht="15.75" customHeight="1" x14ac:dyDescent="0.2">
      <c r="A526" s="181"/>
      <c r="B526" s="174"/>
      <c r="C526" s="175"/>
      <c r="D526" s="175"/>
      <c r="E526" s="175"/>
      <c r="F526" s="122"/>
      <c r="G526" s="122"/>
      <c r="H526" s="122"/>
      <c r="I526" s="122"/>
      <c r="J526" s="173"/>
      <c r="K526" s="181"/>
      <c r="L526" s="122"/>
      <c r="M526" s="122"/>
      <c r="N526" s="122"/>
      <c r="O526" s="122"/>
      <c r="P526" s="122"/>
      <c r="Q526" s="122"/>
      <c r="R526" s="122"/>
      <c r="S526" s="122"/>
      <c r="T526" s="122"/>
      <c r="U526" s="122"/>
      <c r="V526" s="122"/>
      <c r="W526" s="122"/>
      <c r="X526" s="122"/>
      <c r="Y526" s="122"/>
    </row>
    <row r="527" spans="1:25" ht="15.75" customHeight="1" x14ac:dyDescent="0.2">
      <c r="A527" s="181"/>
      <c r="B527" s="174"/>
      <c r="C527" s="175"/>
      <c r="D527" s="175"/>
      <c r="E527" s="175"/>
      <c r="F527" s="122"/>
      <c r="G527" s="122"/>
      <c r="H527" s="122"/>
      <c r="I527" s="122"/>
      <c r="J527" s="173"/>
      <c r="K527" s="181"/>
      <c r="L527" s="122"/>
      <c r="M527" s="122"/>
      <c r="N527" s="122"/>
      <c r="O527" s="122"/>
      <c r="P527" s="122"/>
      <c r="Q527" s="122"/>
      <c r="R527" s="122"/>
      <c r="S527" s="122"/>
      <c r="T527" s="122"/>
      <c r="U527" s="122"/>
      <c r="V527" s="122"/>
      <c r="W527" s="122"/>
      <c r="X527" s="122"/>
      <c r="Y527" s="122"/>
    </row>
    <row r="528" spans="1:25" ht="15.75" customHeight="1" x14ac:dyDescent="0.2">
      <c r="A528" s="181"/>
      <c r="B528" s="174"/>
      <c r="C528" s="175"/>
      <c r="D528" s="175"/>
      <c r="E528" s="175"/>
      <c r="F528" s="122"/>
      <c r="G528" s="122"/>
      <c r="H528" s="122"/>
      <c r="I528" s="122"/>
      <c r="J528" s="173"/>
      <c r="K528" s="181"/>
      <c r="L528" s="122"/>
      <c r="M528" s="122"/>
      <c r="N528" s="122"/>
      <c r="O528" s="122"/>
      <c r="P528" s="122"/>
      <c r="Q528" s="122"/>
      <c r="R528" s="122"/>
      <c r="S528" s="122"/>
      <c r="T528" s="122"/>
      <c r="U528" s="122"/>
      <c r="V528" s="122"/>
      <c r="W528" s="122"/>
      <c r="X528" s="122"/>
      <c r="Y528" s="122"/>
    </row>
    <row r="529" spans="1:25" ht="15.75" customHeight="1" x14ac:dyDescent="0.2">
      <c r="A529" s="181"/>
      <c r="B529" s="174"/>
      <c r="C529" s="175"/>
      <c r="D529" s="175"/>
      <c r="E529" s="175"/>
      <c r="F529" s="122"/>
      <c r="G529" s="122"/>
      <c r="H529" s="122"/>
      <c r="I529" s="122"/>
      <c r="J529" s="173"/>
      <c r="K529" s="181"/>
      <c r="L529" s="122"/>
      <c r="M529" s="122"/>
      <c r="N529" s="122"/>
      <c r="O529" s="122"/>
      <c r="P529" s="122"/>
      <c r="Q529" s="122"/>
      <c r="R529" s="122"/>
      <c r="S529" s="122"/>
      <c r="T529" s="122"/>
      <c r="U529" s="122"/>
      <c r="V529" s="122"/>
      <c r="W529" s="122"/>
      <c r="X529" s="122"/>
      <c r="Y529" s="122"/>
    </row>
    <row r="530" spans="1:25" ht="15.75" customHeight="1" x14ac:dyDescent="0.2">
      <c r="A530" s="181"/>
      <c r="B530" s="174"/>
      <c r="C530" s="175"/>
      <c r="D530" s="175"/>
      <c r="E530" s="175"/>
      <c r="F530" s="122"/>
      <c r="G530" s="122"/>
      <c r="H530" s="122"/>
      <c r="I530" s="122"/>
      <c r="J530" s="173"/>
      <c r="K530" s="181"/>
      <c r="L530" s="122"/>
      <c r="M530" s="122"/>
      <c r="N530" s="122"/>
      <c r="O530" s="122"/>
      <c r="P530" s="122"/>
      <c r="Q530" s="122"/>
      <c r="R530" s="122"/>
      <c r="S530" s="122"/>
      <c r="T530" s="122"/>
      <c r="U530" s="122"/>
      <c r="V530" s="122"/>
      <c r="W530" s="122"/>
      <c r="X530" s="122"/>
      <c r="Y530" s="122"/>
    </row>
    <row r="531" spans="1:25" ht="15.75" customHeight="1" x14ac:dyDescent="0.2">
      <c r="A531" s="181"/>
      <c r="B531" s="174"/>
      <c r="C531" s="175"/>
      <c r="D531" s="175"/>
      <c r="E531" s="175"/>
      <c r="F531" s="122"/>
      <c r="G531" s="122"/>
      <c r="H531" s="122"/>
      <c r="I531" s="122"/>
      <c r="J531" s="173"/>
      <c r="K531" s="181"/>
      <c r="L531" s="122"/>
      <c r="M531" s="122"/>
      <c r="N531" s="122"/>
      <c r="O531" s="122"/>
      <c r="P531" s="122"/>
      <c r="Q531" s="122"/>
      <c r="R531" s="122"/>
      <c r="S531" s="122"/>
      <c r="T531" s="122"/>
      <c r="U531" s="122"/>
      <c r="V531" s="122"/>
      <c r="W531" s="122"/>
      <c r="X531" s="122"/>
      <c r="Y531" s="122"/>
    </row>
    <row r="532" spans="1:25" ht="15.75" customHeight="1" x14ac:dyDescent="0.2">
      <c r="A532" s="181"/>
      <c r="B532" s="174"/>
      <c r="C532" s="175"/>
      <c r="D532" s="175"/>
      <c r="E532" s="175"/>
      <c r="F532" s="122"/>
      <c r="G532" s="122"/>
      <c r="H532" s="122"/>
      <c r="I532" s="122"/>
      <c r="J532" s="173"/>
      <c r="K532" s="181"/>
      <c r="L532" s="122"/>
      <c r="M532" s="122"/>
      <c r="N532" s="122"/>
      <c r="O532" s="122"/>
      <c r="P532" s="122"/>
      <c r="Q532" s="122"/>
      <c r="R532" s="122"/>
      <c r="S532" s="122"/>
      <c r="T532" s="122"/>
      <c r="U532" s="122"/>
      <c r="V532" s="122"/>
      <c r="W532" s="122"/>
      <c r="X532" s="122"/>
      <c r="Y532" s="122"/>
    </row>
    <row r="533" spans="1:25" ht="15.75" customHeight="1" x14ac:dyDescent="0.2">
      <c r="A533" s="181"/>
      <c r="B533" s="174"/>
      <c r="C533" s="175"/>
      <c r="D533" s="175"/>
      <c r="E533" s="175"/>
      <c r="F533" s="122"/>
      <c r="G533" s="122"/>
      <c r="H533" s="122"/>
      <c r="I533" s="122"/>
      <c r="J533" s="173"/>
      <c r="K533" s="181"/>
      <c r="L533" s="122"/>
      <c r="M533" s="122"/>
      <c r="N533" s="122"/>
      <c r="O533" s="122"/>
      <c r="P533" s="122"/>
      <c r="Q533" s="122"/>
      <c r="R533" s="122"/>
      <c r="S533" s="122"/>
      <c r="T533" s="122"/>
      <c r="U533" s="122"/>
      <c r="V533" s="122"/>
      <c r="W533" s="122"/>
      <c r="X533" s="122"/>
      <c r="Y533" s="122"/>
    </row>
    <row r="534" spans="1:25" ht="15.75" customHeight="1" x14ac:dyDescent="0.2">
      <c r="A534" s="181"/>
      <c r="B534" s="174"/>
      <c r="C534" s="175"/>
      <c r="D534" s="175"/>
      <c r="E534" s="175"/>
      <c r="F534" s="122"/>
      <c r="G534" s="122"/>
      <c r="H534" s="122"/>
      <c r="I534" s="122"/>
      <c r="J534" s="173"/>
      <c r="K534" s="181"/>
      <c r="L534" s="122"/>
      <c r="M534" s="122"/>
      <c r="N534" s="122"/>
      <c r="O534" s="122"/>
      <c r="P534" s="122"/>
      <c r="Q534" s="122"/>
      <c r="R534" s="122"/>
      <c r="S534" s="122"/>
      <c r="T534" s="122"/>
      <c r="U534" s="122"/>
      <c r="V534" s="122"/>
      <c r="W534" s="122"/>
      <c r="X534" s="122"/>
      <c r="Y534" s="122"/>
    </row>
    <row r="535" spans="1:25" ht="15.75" customHeight="1" x14ac:dyDescent="0.2">
      <c r="A535" s="181"/>
      <c r="B535" s="174"/>
      <c r="C535" s="175"/>
      <c r="D535" s="175"/>
      <c r="E535" s="175"/>
      <c r="F535" s="122"/>
      <c r="G535" s="122"/>
      <c r="H535" s="122"/>
      <c r="I535" s="122"/>
      <c r="J535" s="173"/>
      <c r="K535" s="181"/>
      <c r="L535" s="122"/>
      <c r="M535" s="122"/>
      <c r="N535" s="122"/>
      <c r="O535" s="122"/>
      <c r="P535" s="122"/>
      <c r="Q535" s="122"/>
      <c r="R535" s="122"/>
      <c r="S535" s="122"/>
      <c r="T535" s="122"/>
      <c r="U535" s="122"/>
      <c r="V535" s="122"/>
      <c r="W535" s="122"/>
      <c r="X535" s="122"/>
      <c r="Y535" s="122"/>
    </row>
    <row r="536" spans="1:25" ht="15.75" customHeight="1" x14ac:dyDescent="0.2">
      <c r="A536" s="181"/>
      <c r="B536" s="174"/>
      <c r="C536" s="175"/>
      <c r="D536" s="175"/>
      <c r="E536" s="175"/>
      <c r="F536" s="122"/>
      <c r="G536" s="122"/>
      <c r="H536" s="122"/>
      <c r="I536" s="122"/>
      <c r="J536" s="173"/>
      <c r="K536" s="181"/>
      <c r="L536" s="122"/>
      <c r="M536" s="122"/>
      <c r="N536" s="122"/>
      <c r="O536" s="122"/>
      <c r="P536" s="122"/>
      <c r="Q536" s="122"/>
      <c r="R536" s="122"/>
      <c r="S536" s="122"/>
      <c r="T536" s="122"/>
      <c r="U536" s="122"/>
      <c r="V536" s="122"/>
      <c r="W536" s="122"/>
      <c r="X536" s="122"/>
      <c r="Y536" s="122"/>
    </row>
    <row r="537" spans="1:25" ht="15.75" customHeight="1" x14ac:dyDescent="0.2">
      <c r="A537" s="181"/>
      <c r="B537" s="174"/>
      <c r="C537" s="175"/>
      <c r="D537" s="175"/>
      <c r="E537" s="175"/>
      <c r="F537" s="122"/>
      <c r="G537" s="122"/>
      <c r="H537" s="122"/>
      <c r="I537" s="122"/>
      <c r="J537" s="173"/>
      <c r="K537" s="181"/>
      <c r="L537" s="122"/>
      <c r="M537" s="122"/>
      <c r="N537" s="122"/>
      <c r="O537" s="122"/>
      <c r="P537" s="122"/>
      <c r="Q537" s="122"/>
      <c r="R537" s="122"/>
      <c r="S537" s="122"/>
      <c r="T537" s="122"/>
      <c r="U537" s="122"/>
      <c r="V537" s="122"/>
      <c r="W537" s="122"/>
      <c r="X537" s="122"/>
      <c r="Y537" s="122"/>
    </row>
    <row r="538" spans="1:25" ht="15.75" customHeight="1" x14ac:dyDescent="0.2">
      <c r="A538" s="181"/>
      <c r="B538" s="174"/>
      <c r="C538" s="175"/>
      <c r="D538" s="175"/>
      <c r="E538" s="175"/>
      <c r="F538" s="122"/>
      <c r="G538" s="122"/>
      <c r="H538" s="122"/>
      <c r="I538" s="122"/>
      <c r="J538" s="173"/>
      <c r="K538" s="181"/>
      <c r="L538" s="122"/>
      <c r="M538" s="122"/>
      <c r="N538" s="122"/>
      <c r="O538" s="122"/>
      <c r="P538" s="122"/>
      <c r="Q538" s="122"/>
      <c r="R538" s="122"/>
      <c r="S538" s="122"/>
      <c r="T538" s="122"/>
      <c r="U538" s="122"/>
      <c r="V538" s="122"/>
      <c r="W538" s="122"/>
      <c r="X538" s="122"/>
      <c r="Y538" s="122"/>
    </row>
    <row r="539" spans="1:25" ht="15.75" customHeight="1" x14ac:dyDescent="0.2">
      <c r="A539" s="181"/>
      <c r="B539" s="174"/>
      <c r="C539" s="175"/>
      <c r="D539" s="175"/>
      <c r="E539" s="175"/>
      <c r="F539" s="122"/>
      <c r="G539" s="122"/>
      <c r="H539" s="122"/>
      <c r="I539" s="122"/>
      <c r="J539" s="173"/>
      <c r="K539" s="181"/>
      <c r="L539" s="122"/>
      <c r="M539" s="122"/>
      <c r="N539" s="122"/>
      <c r="O539" s="122"/>
      <c r="P539" s="122"/>
      <c r="Q539" s="122"/>
      <c r="R539" s="122"/>
      <c r="S539" s="122"/>
      <c r="T539" s="122"/>
      <c r="U539" s="122"/>
      <c r="V539" s="122"/>
      <c r="W539" s="122"/>
      <c r="X539" s="122"/>
      <c r="Y539" s="122"/>
    </row>
    <row r="540" spans="1:25" ht="15.75" customHeight="1" x14ac:dyDescent="0.2">
      <c r="A540" s="181"/>
      <c r="B540" s="174"/>
      <c r="C540" s="175"/>
      <c r="D540" s="175"/>
      <c r="E540" s="175"/>
      <c r="F540" s="122"/>
      <c r="G540" s="122"/>
      <c r="H540" s="122"/>
      <c r="I540" s="122"/>
      <c r="J540" s="173"/>
      <c r="K540" s="181"/>
      <c r="L540" s="122"/>
      <c r="M540" s="122"/>
      <c r="N540" s="122"/>
      <c r="O540" s="122"/>
      <c r="P540" s="122"/>
      <c r="Q540" s="122"/>
      <c r="R540" s="122"/>
      <c r="S540" s="122"/>
      <c r="T540" s="122"/>
      <c r="U540" s="122"/>
      <c r="V540" s="122"/>
      <c r="W540" s="122"/>
      <c r="X540" s="122"/>
      <c r="Y540" s="122"/>
    </row>
    <row r="541" spans="1:25" ht="15.75" customHeight="1" x14ac:dyDescent="0.2">
      <c r="A541" s="181"/>
      <c r="B541" s="174"/>
      <c r="C541" s="175"/>
      <c r="D541" s="175"/>
      <c r="E541" s="175"/>
      <c r="F541" s="122"/>
      <c r="G541" s="122"/>
      <c r="H541" s="122"/>
      <c r="I541" s="122"/>
      <c r="J541" s="173"/>
      <c r="K541" s="181"/>
      <c r="L541" s="122"/>
      <c r="M541" s="122"/>
      <c r="N541" s="122"/>
      <c r="O541" s="122"/>
      <c r="P541" s="122"/>
      <c r="Q541" s="122"/>
      <c r="R541" s="122"/>
      <c r="S541" s="122"/>
      <c r="T541" s="122"/>
      <c r="U541" s="122"/>
      <c r="V541" s="122"/>
      <c r="W541" s="122"/>
      <c r="X541" s="122"/>
      <c r="Y541" s="122"/>
    </row>
    <row r="542" spans="1:25" ht="15.75" customHeight="1" x14ac:dyDescent="0.2">
      <c r="A542" s="181"/>
      <c r="B542" s="174"/>
      <c r="C542" s="175"/>
      <c r="D542" s="175"/>
      <c r="E542" s="175"/>
      <c r="F542" s="122"/>
      <c r="G542" s="122"/>
      <c r="H542" s="122"/>
      <c r="I542" s="122"/>
      <c r="J542" s="173"/>
      <c r="K542" s="181"/>
      <c r="L542" s="122"/>
      <c r="M542" s="122"/>
      <c r="N542" s="122"/>
      <c r="O542" s="122"/>
      <c r="P542" s="122"/>
      <c r="Q542" s="122"/>
      <c r="R542" s="122"/>
      <c r="S542" s="122"/>
      <c r="T542" s="122"/>
      <c r="U542" s="122"/>
      <c r="V542" s="122"/>
      <c r="W542" s="122"/>
      <c r="X542" s="122"/>
      <c r="Y542" s="122"/>
    </row>
    <row r="543" spans="1:25" ht="15.75" customHeight="1" x14ac:dyDescent="0.2">
      <c r="A543" s="181"/>
      <c r="B543" s="174"/>
      <c r="C543" s="175"/>
      <c r="D543" s="175"/>
      <c r="E543" s="175"/>
      <c r="F543" s="122"/>
      <c r="G543" s="122"/>
      <c r="H543" s="122"/>
      <c r="I543" s="122"/>
      <c r="J543" s="173"/>
      <c r="K543" s="181"/>
      <c r="L543" s="122"/>
      <c r="M543" s="122"/>
      <c r="N543" s="122"/>
      <c r="O543" s="122"/>
      <c r="P543" s="122"/>
      <c r="Q543" s="122"/>
      <c r="R543" s="122"/>
      <c r="S543" s="122"/>
      <c r="T543" s="122"/>
      <c r="U543" s="122"/>
      <c r="V543" s="122"/>
      <c r="W543" s="122"/>
      <c r="X543" s="122"/>
      <c r="Y543" s="122"/>
    </row>
    <row r="544" spans="1:25" ht="15.75" customHeight="1" x14ac:dyDescent="0.2">
      <c r="A544" s="181"/>
      <c r="B544" s="174"/>
      <c r="C544" s="175"/>
      <c r="D544" s="175"/>
      <c r="E544" s="175"/>
      <c r="F544" s="122"/>
      <c r="G544" s="122"/>
      <c r="H544" s="122"/>
      <c r="I544" s="122"/>
      <c r="J544" s="173"/>
      <c r="K544" s="181"/>
      <c r="L544" s="122"/>
      <c r="M544" s="122"/>
      <c r="N544" s="122"/>
      <c r="O544" s="122"/>
      <c r="P544" s="122"/>
      <c r="Q544" s="122"/>
      <c r="R544" s="122"/>
      <c r="S544" s="122"/>
      <c r="T544" s="122"/>
      <c r="U544" s="122"/>
      <c r="V544" s="122"/>
      <c r="W544" s="122"/>
      <c r="X544" s="122"/>
      <c r="Y544" s="122"/>
    </row>
    <row r="545" spans="1:25" ht="15.75" customHeight="1" x14ac:dyDescent="0.2">
      <c r="A545" s="181"/>
      <c r="B545" s="174"/>
      <c r="C545" s="175"/>
      <c r="D545" s="175"/>
      <c r="E545" s="175"/>
      <c r="F545" s="122"/>
      <c r="G545" s="122"/>
      <c r="H545" s="122"/>
      <c r="I545" s="122"/>
      <c r="J545" s="173"/>
      <c r="K545" s="181"/>
      <c r="L545" s="122"/>
      <c r="M545" s="122"/>
      <c r="N545" s="122"/>
      <c r="O545" s="122"/>
      <c r="P545" s="122"/>
      <c r="Q545" s="122"/>
      <c r="R545" s="122"/>
      <c r="S545" s="122"/>
      <c r="T545" s="122"/>
      <c r="U545" s="122"/>
      <c r="V545" s="122"/>
      <c r="W545" s="122"/>
      <c r="X545" s="122"/>
      <c r="Y545" s="122"/>
    </row>
    <row r="546" spans="1:25" ht="15.75" customHeight="1" x14ac:dyDescent="0.2">
      <c r="A546" s="181"/>
      <c r="B546" s="174"/>
      <c r="C546" s="175"/>
      <c r="D546" s="175"/>
      <c r="E546" s="175"/>
      <c r="F546" s="122"/>
      <c r="G546" s="122"/>
      <c r="H546" s="122"/>
      <c r="I546" s="122"/>
      <c r="J546" s="173"/>
      <c r="K546" s="181"/>
      <c r="L546" s="122"/>
      <c r="M546" s="122"/>
      <c r="N546" s="122"/>
      <c r="O546" s="122"/>
      <c r="P546" s="122"/>
      <c r="Q546" s="122"/>
      <c r="R546" s="122"/>
      <c r="S546" s="122"/>
      <c r="T546" s="122"/>
      <c r="U546" s="122"/>
      <c r="V546" s="122"/>
      <c r="W546" s="122"/>
      <c r="X546" s="122"/>
      <c r="Y546" s="122"/>
    </row>
    <row r="547" spans="1:25" ht="15.75" customHeight="1" x14ac:dyDescent="0.2">
      <c r="A547" s="181"/>
      <c r="B547" s="174"/>
      <c r="C547" s="175"/>
      <c r="D547" s="175"/>
      <c r="E547" s="175"/>
      <c r="F547" s="122"/>
      <c r="G547" s="122"/>
      <c r="H547" s="122"/>
      <c r="I547" s="122"/>
      <c r="J547" s="173"/>
      <c r="K547" s="181"/>
      <c r="L547" s="122"/>
      <c r="M547" s="122"/>
      <c r="N547" s="122"/>
      <c r="O547" s="122"/>
      <c r="P547" s="122"/>
      <c r="Q547" s="122"/>
      <c r="R547" s="122"/>
      <c r="S547" s="122"/>
      <c r="T547" s="122"/>
      <c r="U547" s="122"/>
      <c r="V547" s="122"/>
      <c r="W547" s="122"/>
      <c r="X547" s="122"/>
      <c r="Y547" s="122"/>
    </row>
    <row r="548" spans="1:25" ht="15.75" customHeight="1" x14ac:dyDescent="0.2">
      <c r="A548" s="181"/>
      <c r="B548" s="174"/>
      <c r="C548" s="175"/>
      <c r="D548" s="175"/>
      <c r="E548" s="175"/>
      <c r="F548" s="122"/>
      <c r="G548" s="122"/>
      <c r="H548" s="122"/>
      <c r="I548" s="122"/>
      <c r="J548" s="173"/>
      <c r="K548" s="181"/>
      <c r="L548" s="122"/>
      <c r="M548" s="122"/>
      <c r="N548" s="122"/>
      <c r="O548" s="122"/>
      <c r="P548" s="122"/>
      <c r="Q548" s="122"/>
      <c r="R548" s="122"/>
      <c r="S548" s="122"/>
      <c r="T548" s="122"/>
      <c r="U548" s="122"/>
      <c r="V548" s="122"/>
      <c r="W548" s="122"/>
      <c r="X548" s="122"/>
      <c r="Y548" s="122"/>
    </row>
    <row r="549" spans="1:25" ht="15.75" customHeight="1" x14ac:dyDescent="0.2">
      <c r="A549" s="181"/>
      <c r="B549" s="174"/>
      <c r="C549" s="175"/>
      <c r="D549" s="175"/>
      <c r="E549" s="175"/>
      <c r="F549" s="122"/>
      <c r="G549" s="122"/>
      <c r="H549" s="122"/>
      <c r="I549" s="122"/>
      <c r="J549" s="173"/>
      <c r="K549" s="181"/>
      <c r="L549" s="122"/>
      <c r="M549" s="122"/>
      <c r="N549" s="122"/>
      <c r="O549" s="122"/>
      <c r="P549" s="122"/>
      <c r="Q549" s="122"/>
      <c r="R549" s="122"/>
      <c r="S549" s="122"/>
      <c r="T549" s="122"/>
      <c r="U549" s="122"/>
      <c r="V549" s="122"/>
      <c r="W549" s="122"/>
      <c r="X549" s="122"/>
      <c r="Y549" s="122"/>
    </row>
    <row r="550" spans="1:25" ht="15.75" customHeight="1" x14ac:dyDescent="0.2">
      <c r="A550" s="181"/>
      <c r="B550" s="174"/>
      <c r="C550" s="175"/>
      <c r="D550" s="175"/>
      <c r="E550" s="175"/>
      <c r="F550" s="122"/>
      <c r="G550" s="122"/>
      <c r="H550" s="122"/>
      <c r="I550" s="122"/>
      <c r="J550" s="173"/>
      <c r="K550" s="181"/>
      <c r="L550" s="122"/>
      <c r="M550" s="122"/>
      <c r="N550" s="122"/>
      <c r="O550" s="122"/>
      <c r="P550" s="122"/>
      <c r="Q550" s="122"/>
      <c r="R550" s="122"/>
      <c r="S550" s="122"/>
      <c r="T550" s="122"/>
      <c r="U550" s="122"/>
      <c r="V550" s="122"/>
      <c r="W550" s="122"/>
      <c r="X550" s="122"/>
      <c r="Y550" s="122"/>
    </row>
    <row r="551" spans="1:25" ht="15.75" customHeight="1" x14ac:dyDescent="0.2">
      <c r="A551" s="181"/>
      <c r="B551" s="174"/>
      <c r="C551" s="175"/>
      <c r="D551" s="175"/>
      <c r="E551" s="175"/>
      <c r="F551" s="122"/>
      <c r="G551" s="122"/>
      <c r="H551" s="122"/>
      <c r="I551" s="122"/>
      <c r="J551" s="173"/>
      <c r="K551" s="181"/>
      <c r="L551" s="122"/>
      <c r="M551" s="122"/>
      <c r="N551" s="122"/>
      <c r="O551" s="122"/>
      <c r="P551" s="122"/>
      <c r="Q551" s="122"/>
      <c r="R551" s="122"/>
      <c r="S551" s="122"/>
      <c r="T551" s="122"/>
      <c r="U551" s="122"/>
      <c r="V551" s="122"/>
      <c r="W551" s="122"/>
      <c r="X551" s="122"/>
      <c r="Y551" s="122"/>
    </row>
    <row r="552" spans="1:25" ht="15.75" customHeight="1" x14ac:dyDescent="0.2">
      <c r="A552" s="181"/>
      <c r="B552" s="174"/>
      <c r="C552" s="175"/>
      <c r="D552" s="175"/>
      <c r="E552" s="175"/>
      <c r="F552" s="122"/>
      <c r="G552" s="122"/>
      <c r="H552" s="122"/>
      <c r="I552" s="122"/>
      <c r="J552" s="173"/>
      <c r="K552" s="181"/>
      <c r="L552" s="122"/>
      <c r="M552" s="122"/>
      <c r="N552" s="122"/>
      <c r="O552" s="122"/>
      <c r="P552" s="122"/>
      <c r="Q552" s="122"/>
      <c r="R552" s="122"/>
      <c r="S552" s="122"/>
      <c r="T552" s="122"/>
      <c r="U552" s="122"/>
      <c r="V552" s="122"/>
      <c r="W552" s="122"/>
      <c r="X552" s="122"/>
      <c r="Y552" s="122"/>
    </row>
    <row r="553" spans="1:25" ht="15.75" customHeight="1" x14ac:dyDescent="0.2">
      <c r="A553" s="181"/>
      <c r="B553" s="174"/>
      <c r="C553" s="175"/>
      <c r="D553" s="175"/>
      <c r="E553" s="175"/>
      <c r="F553" s="122"/>
      <c r="G553" s="122"/>
      <c r="H553" s="122"/>
      <c r="I553" s="122"/>
      <c r="J553" s="173"/>
      <c r="K553" s="181"/>
      <c r="L553" s="122"/>
      <c r="M553" s="122"/>
      <c r="N553" s="122"/>
      <c r="O553" s="122"/>
      <c r="P553" s="122"/>
      <c r="Q553" s="122"/>
      <c r="R553" s="122"/>
      <c r="S553" s="122"/>
      <c r="T553" s="122"/>
      <c r="U553" s="122"/>
      <c r="V553" s="122"/>
      <c r="W553" s="122"/>
      <c r="X553" s="122"/>
      <c r="Y553" s="122"/>
    </row>
    <row r="554" spans="1:25" ht="15.75" customHeight="1" x14ac:dyDescent="0.2">
      <c r="A554" s="181"/>
      <c r="B554" s="174"/>
      <c r="C554" s="175"/>
      <c r="D554" s="175"/>
      <c r="E554" s="175"/>
      <c r="F554" s="122"/>
      <c r="G554" s="122"/>
      <c r="H554" s="122"/>
      <c r="I554" s="122"/>
      <c r="J554" s="173"/>
      <c r="K554" s="181"/>
      <c r="L554" s="122"/>
      <c r="M554" s="122"/>
      <c r="N554" s="122"/>
      <c r="O554" s="122"/>
      <c r="P554" s="122"/>
      <c r="Q554" s="122"/>
      <c r="R554" s="122"/>
      <c r="S554" s="122"/>
      <c r="T554" s="122"/>
      <c r="U554" s="122"/>
      <c r="V554" s="122"/>
      <c r="W554" s="122"/>
      <c r="X554" s="122"/>
      <c r="Y554" s="122"/>
    </row>
    <row r="555" spans="1:25" ht="15.75" customHeight="1" x14ac:dyDescent="0.2">
      <c r="A555" s="181"/>
      <c r="B555" s="174"/>
      <c r="C555" s="175"/>
      <c r="D555" s="175"/>
      <c r="E555" s="175"/>
      <c r="F555" s="122"/>
      <c r="G555" s="122"/>
      <c r="H555" s="122"/>
      <c r="I555" s="122"/>
      <c r="J555" s="173"/>
      <c r="K555" s="181"/>
      <c r="L555" s="122"/>
      <c r="M555" s="122"/>
      <c r="N555" s="122"/>
      <c r="O555" s="122"/>
      <c r="P555" s="122"/>
      <c r="Q555" s="122"/>
      <c r="R555" s="122"/>
      <c r="S555" s="122"/>
      <c r="T555" s="122"/>
      <c r="U555" s="122"/>
      <c r="V555" s="122"/>
      <c r="W555" s="122"/>
      <c r="X555" s="122"/>
      <c r="Y555" s="122"/>
    </row>
    <row r="556" spans="1:25" ht="15.75" customHeight="1" x14ac:dyDescent="0.2">
      <c r="A556" s="181"/>
      <c r="B556" s="174"/>
      <c r="C556" s="175"/>
      <c r="D556" s="175"/>
      <c r="E556" s="175"/>
      <c r="F556" s="122"/>
      <c r="G556" s="122"/>
      <c r="H556" s="122"/>
      <c r="I556" s="122"/>
      <c r="J556" s="173"/>
      <c r="K556" s="181"/>
      <c r="L556" s="122"/>
      <c r="M556" s="122"/>
      <c r="N556" s="122"/>
      <c r="O556" s="122"/>
      <c r="P556" s="122"/>
      <c r="Q556" s="122"/>
      <c r="R556" s="122"/>
      <c r="S556" s="122"/>
      <c r="T556" s="122"/>
      <c r="U556" s="122"/>
      <c r="V556" s="122"/>
      <c r="W556" s="122"/>
      <c r="X556" s="122"/>
      <c r="Y556" s="122"/>
    </row>
    <row r="557" spans="1:25" ht="15.75" customHeight="1" x14ac:dyDescent="0.2">
      <c r="A557" s="181"/>
      <c r="B557" s="174"/>
      <c r="C557" s="175"/>
      <c r="D557" s="175"/>
      <c r="E557" s="175"/>
      <c r="F557" s="122"/>
      <c r="G557" s="122"/>
      <c r="H557" s="122"/>
      <c r="I557" s="122"/>
      <c r="J557" s="173"/>
      <c r="K557" s="181"/>
      <c r="L557" s="122"/>
      <c r="M557" s="122"/>
      <c r="N557" s="122"/>
      <c r="O557" s="122"/>
      <c r="P557" s="122"/>
      <c r="Q557" s="122"/>
      <c r="R557" s="122"/>
      <c r="S557" s="122"/>
      <c r="T557" s="122"/>
      <c r="U557" s="122"/>
      <c r="V557" s="122"/>
      <c r="W557" s="122"/>
      <c r="X557" s="122"/>
      <c r="Y557" s="122"/>
    </row>
    <row r="558" spans="1:25" ht="15.75" customHeight="1" x14ac:dyDescent="0.2">
      <c r="A558" s="181"/>
      <c r="B558" s="174"/>
      <c r="C558" s="175"/>
      <c r="D558" s="175"/>
      <c r="E558" s="175"/>
      <c r="F558" s="122"/>
      <c r="G558" s="122"/>
      <c r="H558" s="122"/>
      <c r="I558" s="122"/>
      <c r="J558" s="173"/>
      <c r="K558" s="181"/>
      <c r="L558" s="122"/>
      <c r="M558" s="122"/>
      <c r="N558" s="122"/>
      <c r="O558" s="122"/>
      <c r="P558" s="122"/>
      <c r="Q558" s="122"/>
      <c r="R558" s="122"/>
      <c r="S558" s="122"/>
      <c r="T558" s="122"/>
      <c r="U558" s="122"/>
      <c r="V558" s="122"/>
      <c r="W558" s="122"/>
      <c r="X558" s="122"/>
      <c r="Y558" s="122"/>
    </row>
    <row r="559" spans="1:25" ht="15.75" customHeight="1" x14ac:dyDescent="0.2">
      <c r="A559" s="181"/>
      <c r="B559" s="174"/>
      <c r="C559" s="175"/>
      <c r="D559" s="175"/>
      <c r="E559" s="175"/>
      <c r="F559" s="122"/>
      <c r="G559" s="122"/>
      <c r="H559" s="122"/>
      <c r="I559" s="122"/>
      <c r="J559" s="173"/>
      <c r="K559" s="181"/>
      <c r="L559" s="122"/>
      <c r="M559" s="122"/>
      <c r="N559" s="122"/>
      <c r="O559" s="122"/>
      <c r="P559" s="122"/>
      <c r="Q559" s="122"/>
      <c r="R559" s="122"/>
      <c r="S559" s="122"/>
      <c r="T559" s="122"/>
      <c r="U559" s="122"/>
      <c r="V559" s="122"/>
      <c r="W559" s="122"/>
      <c r="X559" s="122"/>
      <c r="Y559" s="122"/>
    </row>
    <row r="560" spans="1:25" ht="15.75" customHeight="1" x14ac:dyDescent="0.2">
      <c r="A560" s="181"/>
      <c r="B560" s="174"/>
      <c r="C560" s="175"/>
      <c r="D560" s="175"/>
      <c r="E560" s="175"/>
      <c r="F560" s="122"/>
      <c r="G560" s="122"/>
      <c r="H560" s="122"/>
      <c r="I560" s="122"/>
      <c r="J560" s="173"/>
      <c r="K560" s="181"/>
      <c r="L560" s="122"/>
      <c r="M560" s="122"/>
      <c r="N560" s="122"/>
      <c r="O560" s="122"/>
      <c r="P560" s="122"/>
      <c r="Q560" s="122"/>
      <c r="R560" s="122"/>
      <c r="S560" s="122"/>
      <c r="T560" s="122"/>
      <c r="U560" s="122"/>
      <c r="V560" s="122"/>
      <c r="W560" s="122"/>
      <c r="X560" s="122"/>
      <c r="Y560" s="122"/>
    </row>
    <row r="561" spans="1:25" ht="15.75" customHeight="1" x14ac:dyDescent="0.2">
      <c r="A561" s="181"/>
      <c r="B561" s="174"/>
      <c r="C561" s="175"/>
      <c r="D561" s="175"/>
      <c r="E561" s="175"/>
      <c r="F561" s="122"/>
      <c r="G561" s="122"/>
      <c r="H561" s="122"/>
      <c r="I561" s="122"/>
      <c r="J561" s="173"/>
      <c r="K561" s="181"/>
      <c r="L561" s="122"/>
      <c r="M561" s="122"/>
      <c r="N561" s="122"/>
      <c r="O561" s="122"/>
      <c r="P561" s="122"/>
      <c r="Q561" s="122"/>
      <c r="R561" s="122"/>
      <c r="S561" s="122"/>
      <c r="T561" s="122"/>
      <c r="U561" s="122"/>
      <c r="V561" s="122"/>
      <c r="W561" s="122"/>
      <c r="X561" s="122"/>
      <c r="Y561" s="122"/>
    </row>
    <row r="562" spans="1:25" ht="15.75" customHeight="1" x14ac:dyDescent="0.2">
      <c r="A562" s="181"/>
      <c r="B562" s="174"/>
      <c r="C562" s="175"/>
      <c r="D562" s="175"/>
      <c r="E562" s="175"/>
      <c r="F562" s="122"/>
      <c r="G562" s="122"/>
      <c r="H562" s="122"/>
      <c r="I562" s="122"/>
      <c r="J562" s="173"/>
      <c r="K562" s="181"/>
      <c r="L562" s="122"/>
      <c r="M562" s="122"/>
      <c r="N562" s="122"/>
      <c r="O562" s="122"/>
      <c r="P562" s="122"/>
      <c r="Q562" s="122"/>
      <c r="R562" s="122"/>
      <c r="S562" s="122"/>
      <c r="T562" s="122"/>
      <c r="U562" s="122"/>
      <c r="V562" s="122"/>
      <c r="W562" s="122"/>
      <c r="X562" s="122"/>
      <c r="Y562" s="122"/>
    </row>
    <row r="563" spans="1:25" ht="15.75" customHeight="1" x14ac:dyDescent="0.2">
      <c r="A563" s="181"/>
      <c r="B563" s="174"/>
      <c r="C563" s="175"/>
      <c r="D563" s="175"/>
      <c r="E563" s="175"/>
      <c r="F563" s="122"/>
      <c r="G563" s="122"/>
      <c r="H563" s="122"/>
      <c r="I563" s="122"/>
      <c r="J563" s="173"/>
      <c r="K563" s="181"/>
      <c r="L563" s="122"/>
      <c r="M563" s="122"/>
      <c r="N563" s="122"/>
      <c r="O563" s="122"/>
      <c r="P563" s="122"/>
      <c r="Q563" s="122"/>
      <c r="R563" s="122"/>
      <c r="S563" s="122"/>
      <c r="T563" s="122"/>
      <c r="U563" s="122"/>
      <c r="V563" s="122"/>
      <c r="W563" s="122"/>
      <c r="X563" s="122"/>
      <c r="Y563" s="122"/>
    </row>
    <row r="564" spans="1:25" ht="15.75" customHeight="1" x14ac:dyDescent="0.2">
      <c r="A564" s="181"/>
      <c r="B564" s="174"/>
      <c r="C564" s="175"/>
      <c r="D564" s="175"/>
      <c r="E564" s="175"/>
      <c r="F564" s="122"/>
      <c r="G564" s="122"/>
      <c r="H564" s="122"/>
      <c r="I564" s="122"/>
      <c r="J564" s="173"/>
      <c r="K564" s="181"/>
      <c r="L564" s="122"/>
      <c r="M564" s="122"/>
      <c r="N564" s="122"/>
      <c r="O564" s="122"/>
      <c r="P564" s="122"/>
      <c r="Q564" s="122"/>
      <c r="R564" s="122"/>
      <c r="S564" s="122"/>
      <c r="T564" s="122"/>
      <c r="U564" s="122"/>
      <c r="V564" s="122"/>
      <c r="W564" s="122"/>
      <c r="X564" s="122"/>
      <c r="Y564" s="122"/>
    </row>
    <row r="565" spans="1:25" ht="15.75" customHeight="1" x14ac:dyDescent="0.2">
      <c r="A565" s="181"/>
      <c r="B565" s="174"/>
      <c r="C565" s="175"/>
      <c r="D565" s="175"/>
      <c r="E565" s="175"/>
      <c r="F565" s="122"/>
      <c r="G565" s="122"/>
      <c r="H565" s="122"/>
      <c r="I565" s="122"/>
      <c r="J565" s="173"/>
      <c r="K565" s="181"/>
      <c r="L565" s="122"/>
      <c r="M565" s="122"/>
      <c r="N565" s="122"/>
      <c r="O565" s="122"/>
      <c r="P565" s="122"/>
      <c r="Q565" s="122"/>
      <c r="R565" s="122"/>
      <c r="S565" s="122"/>
      <c r="T565" s="122"/>
      <c r="U565" s="122"/>
      <c r="V565" s="122"/>
      <c r="W565" s="122"/>
      <c r="X565" s="122"/>
      <c r="Y565" s="122"/>
    </row>
    <row r="566" spans="1:25" ht="15.75" customHeight="1" x14ac:dyDescent="0.2">
      <c r="A566" s="181"/>
      <c r="B566" s="174"/>
      <c r="C566" s="175"/>
      <c r="D566" s="175"/>
      <c r="E566" s="175"/>
      <c r="F566" s="122"/>
      <c r="G566" s="122"/>
      <c r="H566" s="122"/>
      <c r="I566" s="122"/>
      <c r="J566" s="173"/>
      <c r="K566" s="181"/>
      <c r="L566" s="122"/>
      <c r="M566" s="122"/>
      <c r="N566" s="122"/>
      <c r="O566" s="122"/>
      <c r="P566" s="122"/>
      <c r="Q566" s="122"/>
      <c r="R566" s="122"/>
      <c r="S566" s="122"/>
      <c r="T566" s="122"/>
      <c r="U566" s="122"/>
      <c r="V566" s="122"/>
      <c r="W566" s="122"/>
      <c r="X566" s="122"/>
      <c r="Y566" s="122"/>
    </row>
    <row r="567" spans="1:25" ht="15.75" customHeight="1" x14ac:dyDescent="0.2">
      <c r="A567" s="181"/>
      <c r="B567" s="174"/>
      <c r="C567" s="175"/>
      <c r="D567" s="175"/>
      <c r="E567" s="175"/>
      <c r="F567" s="122"/>
      <c r="G567" s="122"/>
      <c r="H567" s="122"/>
      <c r="I567" s="122"/>
      <c r="J567" s="173"/>
      <c r="K567" s="181"/>
      <c r="L567" s="122"/>
      <c r="M567" s="122"/>
      <c r="N567" s="122"/>
      <c r="O567" s="122"/>
      <c r="P567" s="122"/>
      <c r="Q567" s="122"/>
      <c r="R567" s="122"/>
      <c r="S567" s="122"/>
      <c r="T567" s="122"/>
      <c r="U567" s="122"/>
      <c r="V567" s="122"/>
      <c r="W567" s="122"/>
      <c r="X567" s="122"/>
      <c r="Y567" s="122"/>
    </row>
    <row r="568" spans="1:25" ht="15.75" customHeight="1" x14ac:dyDescent="0.2">
      <c r="A568" s="181"/>
      <c r="B568" s="174"/>
      <c r="C568" s="175"/>
      <c r="D568" s="175"/>
      <c r="E568" s="175"/>
      <c r="F568" s="122"/>
      <c r="G568" s="122"/>
      <c r="H568" s="122"/>
      <c r="I568" s="122"/>
      <c r="J568" s="173"/>
      <c r="K568" s="181"/>
      <c r="L568" s="122"/>
      <c r="M568" s="122"/>
      <c r="N568" s="122"/>
      <c r="O568" s="122"/>
      <c r="P568" s="122"/>
      <c r="Q568" s="122"/>
      <c r="R568" s="122"/>
      <c r="S568" s="122"/>
      <c r="T568" s="122"/>
      <c r="U568" s="122"/>
      <c r="V568" s="122"/>
      <c r="W568" s="122"/>
      <c r="X568" s="122"/>
      <c r="Y568" s="122"/>
    </row>
    <row r="569" spans="1:25" ht="15.75" customHeight="1" x14ac:dyDescent="0.2">
      <c r="A569" s="181"/>
      <c r="B569" s="174"/>
      <c r="C569" s="175"/>
      <c r="D569" s="175"/>
      <c r="E569" s="175"/>
      <c r="F569" s="122"/>
      <c r="G569" s="122"/>
      <c r="H569" s="122"/>
      <c r="I569" s="122"/>
      <c r="J569" s="173"/>
      <c r="K569" s="181"/>
      <c r="L569" s="122"/>
      <c r="M569" s="122"/>
      <c r="N569" s="122"/>
      <c r="O569" s="122"/>
      <c r="P569" s="122"/>
      <c r="Q569" s="122"/>
      <c r="R569" s="122"/>
      <c r="S569" s="122"/>
      <c r="T569" s="122"/>
      <c r="U569" s="122"/>
      <c r="V569" s="122"/>
      <c r="W569" s="122"/>
      <c r="X569" s="122"/>
      <c r="Y569" s="122"/>
    </row>
    <row r="570" spans="1:25" ht="15.75" customHeight="1" x14ac:dyDescent="0.2">
      <c r="A570" s="181"/>
      <c r="B570" s="174"/>
      <c r="C570" s="175"/>
      <c r="D570" s="175"/>
      <c r="E570" s="175"/>
      <c r="F570" s="122"/>
      <c r="G570" s="122"/>
      <c r="H570" s="122"/>
      <c r="I570" s="122"/>
      <c r="J570" s="173"/>
      <c r="K570" s="181"/>
      <c r="L570" s="122"/>
      <c r="M570" s="122"/>
      <c r="N570" s="122"/>
      <c r="O570" s="122"/>
      <c r="P570" s="122"/>
      <c r="Q570" s="122"/>
      <c r="R570" s="122"/>
      <c r="S570" s="122"/>
      <c r="T570" s="122"/>
      <c r="U570" s="122"/>
      <c r="V570" s="122"/>
      <c r="W570" s="122"/>
      <c r="X570" s="122"/>
      <c r="Y570" s="122"/>
    </row>
    <row r="571" spans="1:25" ht="15.75" customHeight="1" x14ac:dyDescent="0.2">
      <c r="A571" s="181"/>
      <c r="B571" s="174"/>
      <c r="C571" s="175"/>
      <c r="D571" s="175"/>
      <c r="E571" s="175"/>
      <c r="F571" s="122"/>
      <c r="G571" s="122"/>
      <c r="H571" s="122"/>
      <c r="I571" s="122"/>
      <c r="J571" s="173"/>
      <c r="K571" s="181"/>
      <c r="L571" s="122"/>
      <c r="M571" s="122"/>
      <c r="N571" s="122"/>
      <c r="O571" s="122"/>
      <c r="P571" s="122"/>
      <c r="Q571" s="122"/>
      <c r="R571" s="122"/>
      <c r="S571" s="122"/>
      <c r="T571" s="122"/>
      <c r="U571" s="122"/>
      <c r="V571" s="122"/>
      <c r="W571" s="122"/>
      <c r="X571" s="122"/>
      <c r="Y571" s="122"/>
    </row>
    <row r="572" spans="1:25" ht="15.75" customHeight="1" x14ac:dyDescent="0.2">
      <c r="A572" s="181"/>
      <c r="B572" s="174"/>
      <c r="C572" s="175"/>
      <c r="D572" s="175"/>
      <c r="E572" s="175"/>
      <c r="F572" s="122"/>
      <c r="G572" s="122"/>
      <c r="H572" s="122"/>
      <c r="I572" s="122"/>
      <c r="J572" s="173"/>
      <c r="K572" s="181"/>
      <c r="L572" s="122"/>
      <c r="M572" s="122"/>
      <c r="N572" s="122"/>
      <c r="O572" s="122"/>
      <c r="P572" s="122"/>
      <c r="Q572" s="122"/>
      <c r="R572" s="122"/>
      <c r="S572" s="122"/>
      <c r="T572" s="122"/>
      <c r="U572" s="122"/>
      <c r="V572" s="122"/>
      <c r="W572" s="122"/>
      <c r="X572" s="122"/>
      <c r="Y572" s="122"/>
    </row>
    <row r="573" spans="1:25" ht="15.75" customHeight="1" x14ac:dyDescent="0.2">
      <c r="A573" s="181"/>
      <c r="B573" s="174"/>
      <c r="C573" s="175"/>
      <c r="D573" s="175"/>
      <c r="E573" s="175"/>
      <c r="F573" s="122"/>
      <c r="G573" s="122"/>
      <c r="H573" s="122"/>
      <c r="I573" s="122"/>
      <c r="J573" s="173"/>
      <c r="K573" s="181"/>
      <c r="L573" s="122"/>
      <c r="M573" s="122"/>
      <c r="N573" s="122"/>
      <c r="O573" s="122"/>
      <c r="P573" s="122"/>
      <c r="Q573" s="122"/>
      <c r="R573" s="122"/>
      <c r="S573" s="122"/>
      <c r="T573" s="122"/>
      <c r="U573" s="122"/>
      <c r="V573" s="122"/>
      <c r="W573" s="122"/>
      <c r="X573" s="122"/>
      <c r="Y573" s="122"/>
    </row>
    <row r="574" spans="1:25" ht="15.75" customHeight="1" x14ac:dyDescent="0.2">
      <c r="A574" s="181"/>
      <c r="B574" s="174"/>
      <c r="C574" s="175"/>
      <c r="D574" s="175"/>
      <c r="E574" s="175"/>
      <c r="F574" s="122"/>
      <c r="G574" s="122"/>
      <c r="H574" s="122"/>
      <c r="I574" s="122"/>
      <c r="J574" s="173"/>
      <c r="K574" s="181"/>
      <c r="L574" s="122"/>
      <c r="M574" s="122"/>
      <c r="N574" s="122"/>
      <c r="O574" s="122"/>
      <c r="P574" s="122"/>
      <c r="Q574" s="122"/>
      <c r="R574" s="122"/>
      <c r="S574" s="122"/>
      <c r="T574" s="122"/>
      <c r="U574" s="122"/>
      <c r="V574" s="122"/>
      <c r="W574" s="122"/>
      <c r="X574" s="122"/>
      <c r="Y574" s="122"/>
    </row>
    <row r="575" spans="1:25" ht="15.75" customHeight="1" x14ac:dyDescent="0.2">
      <c r="A575" s="181"/>
      <c r="B575" s="174"/>
      <c r="C575" s="175"/>
      <c r="D575" s="175"/>
      <c r="E575" s="175"/>
      <c r="F575" s="122"/>
      <c r="G575" s="122"/>
      <c r="H575" s="122"/>
      <c r="I575" s="122"/>
      <c r="J575" s="173"/>
      <c r="K575" s="181"/>
      <c r="L575" s="122"/>
      <c r="M575" s="122"/>
      <c r="N575" s="122"/>
      <c r="O575" s="122"/>
      <c r="P575" s="122"/>
      <c r="Q575" s="122"/>
      <c r="R575" s="122"/>
      <c r="S575" s="122"/>
      <c r="T575" s="122"/>
      <c r="U575" s="122"/>
      <c r="V575" s="122"/>
      <c r="W575" s="122"/>
      <c r="X575" s="122"/>
      <c r="Y575" s="122"/>
    </row>
    <row r="576" spans="1:25" ht="15.75" customHeight="1" x14ac:dyDescent="0.2">
      <c r="A576" s="181"/>
      <c r="B576" s="174"/>
      <c r="C576" s="175"/>
      <c r="D576" s="175"/>
      <c r="E576" s="175"/>
      <c r="F576" s="122"/>
      <c r="G576" s="122"/>
      <c r="H576" s="122"/>
      <c r="I576" s="122"/>
      <c r="J576" s="173"/>
      <c r="K576" s="181"/>
      <c r="L576" s="122"/>
      <c r="M576" s="122"/>
      <c r="N576" s="122"/>
      <c r="O576" s="122"/>
      <c r="P576" s="122"/>
      <c r="Q576" s="122"/>
      <c r="R576" s="122"/>
      <c r="S576" s="122"/>
      <c r="T576" s="122"/>
      <c r="U576" s="122"/>
      <c r="V576" s="122"/>
      <c r="W576" s="122"/>
      <c r="X576" s="122"/>
      <c r="Y576" s="122"/>
    </row>
    <row r="577" spans="1:25" ht="15.75" customHeight="1" x14ac:dyDescent="0.2">
      <c r="A577" s="181"/>
      <c r="B577" s="174"/>
      <c r="C577" s="175"/>
      <c r="D577" s="175"/>
      <c r="E577" s="175"/>
      <c r="F577" s="122"/>
      <c r="G577" s="122"/>
      <c r="H577" s="122"/>
      <c r="I577" s="122"/>
      <c r="J577" s="173"/>
      <c r="K577" s="181"/>
      <c r="L577" s="122"/>
      <c r="M577" s="122"/>
      <c r="N577" s="122"/>
      <c r="O577" s="122"/>
      <c r="P577" s="122"/>
      <c r="Q577" s="122"/>
      <c r="R577" s="122"/>
      <c r="S577" s="122"/>
      <c r="T577" s="122"/>
      <c r="U577" s="122"/>
      <c r="V577" s="122"/>
      <c r="W577" s="122"/>
      <c r="X577" s="122"/>
      <c r="Y577" s="122"/>
    </row>
    <row r="578" spans="1:25" ht="15.75" customHeight="1" x14ac:dyDescent="0.2">
      <c r="A578" s="181"/>
      <c r="B578" s="174"/>
      <c r="C578" s="175"/>
      <c r="D578" s="175"/>
      <c r="E578" s="175"/>
      <c r="F578" s="122"/>
      <c r="G578" s="122"/>
      <c r="H578" s="122"/>
      <c r="I578" s="122"/>
      <c r="J578" s="173"/>
      <c r="K578" s="181"/>
      <c r="L578" s="122"/>
      <c r="M578" s="122"/>
      <c r="N578" s="122"/>
      <c r="O578" s="122"/>
      <c r="P578" s="122"/>
      <c r="Q578" s="122"/>
      <c r="R578" s="122"/>
      <c r="S578" s="122"/>
      <c r="T578" s="122"/>
      <c r="U578" s="122"/>
      <c r="V578" s="122"/>
      <c r="W578" s="122"/>
      <c r="X578" s="122"/>
      <c r="Y578" s="122"/>
    </row>
    <row r="579" spans="1:25" ht="15.75" customHeight="1" x14ac:dyDescent="0.2">
      <c r="A579" s="181"/>
      <c r="B579" s="174"/>
      <c r="C579" s="175"/>
      <c r="D579" s="175"/>
      <c r="E579" s="175"/>
      <c r="F579" s="122"/>
      <c r="G579" s="122"/>
      <c r="H579" s="122"/>
      <c r="I579" s="122"/>
      <c r="J579" s="173"/>
      <c r="K579" s="181"/>
      <c r="L579" s="122"/>
      <c r="M579" s="122"/>
      <c r="N579" s="122"/>
      <c r="O579" s="122"/>
      <c r="P579" s="122"/>
      <c r="Q579" s="122"/>
      <c r="R579" s="122"/>
      <c r="S579" s="122"/>
      <c r="T579" s="122"/>
      <c r="U579" s="122"/>
      <c r="V579" s="122"/>
      <c r="W579" s="122"/>
      <c r="X579" s="122"/>
      <c r="Y579" s="122"/>
    </row>
    <row r="580" spans="1:25" ht="15.75" customHeight="1" x14ac:dyDescent="0.2">
      <c r="A580" s="181"/>
      <c r="B580" s="174"/>
      <c r="C580" s="175"/>
      <c r="D580" s="175"/>
      <c r="E580" s="175"/>
      <c r="F580" s="122"/>
      <c r="G580" s="122"/>
      <c r="H580" s="122"/>
      <c r="I580" s="122"/>
      <c r="J580" s="173"/>
      <c r="K580" s="181"/>
      <c r="L580" s="122"/>
      <c r="M580" s="122"/>
      <c r="N580" s="122"/>
      <c r="O580" s="122"/>
      <c r="P580" s="122"/>
      <c r="Q580" s="122"/>
      <c r="R580" s="122"/>
      <c r="S580" s="122"/>
      <c r="T580" s="122"/>
      <c r="U580" s="122"/>
      <c r="V580" s="122"/>
      <c r="W580" s="122"/>
      <c r="X580" s="122"/>
      <c r="Y580" s="122"/>
    </row>
    <row r="581" spans="1:25" ht="15.75" customHeight="1" x14ac:dyDescent="0.2">
      <c r="A581" s="181"/>
      <c r="B581" s="174"/>
      <c r="C581" s="175"/>
      <c r="D581" s="175"/>
      <c r="E581" s="175"/>
      <c r="F581" s="122"/>
      <c r="G581" s="122"/>
      <c r="H581" s="122"/>
      <c r="I581" s="122"/>
      <c r="J581" s="173"/>
      <c r="K581" s="181"/>
      <c r="L581" s="122"/>
      <c r="M581" s="122"/>
      <c r="N581" s="122"/>
      <c r="O581" s="122"/>
      <c r="P581" s="122"/>
      <c r="Q581" s="122"/>
      <c r="R581" s="122"/>
      <c r="S581" s="122"/>
      <c r="T581" s="122"/>
      <c r="U581" s="122"/>
      <c r="V581" s="122"/>
      <c r="W581" s="122"/>
      <c r="X581" s="122"/>
      <c r="Y581" s="122"/>
    </row>
    <row r="582" spans="1:25" ht="15.75" customHeight="1" x14ac:dyDescent="0.2">
      <c r="A582" s="181"/>
      <c r="B582" s="174"/>
      <c r="C582" s="175"/>
      <c r="D582" s="175"/>
      <c r="E582" s="175"/>
      <c r="F582" s="122"/>
      <c r="G582" s="122"/>
      <c r="H582" s="122"/>
      <c r="I582" s="122"/>
      <c r="J582" s="173"/>
      <c r="K582" s="181"/>
      <c r="L582" s="122"/>
      <c r="M582" s="122"/>
      <c r="N582" s="122"/>
      <c r="O582" s="122"/>
      <c r="P582" s="122"/>
      <c r="Q582" s="122"/>
      <c r="R582" s="122"/>
      <c r="S582" s="122"/>
      <c r="T582" s="122"/>
      <c r="U582" s="122"/>
      <c r="V582" s="122"/>
      <c r="W582" s="122"/>
      <c r="X582" s="122"/>
      <c r="Y582" s="122"/>
    </row>
    <row r="583" spans="1:25" ht="15.75" customHeight="1" x14ac:dyDescent="0.2">
      <c r="A583" s="181"/>
      <c r="B583" s="174"/>
      <c r="C583" s="175"/>
      <c r="D583" s="175"/>
      <c r="E583" s="175"/>
      <c r="F583" s="122"/>
      <c r="G583" s="122"/>
      <c r="H583" s="122"/>
      <c r="I583" s="122"/>
      <c r="J583" s="173"/>
      <c r="K583" s="181"/>
      <c r="L583" s="122"/>
      <c r="M583" s="122"/>
      <c r="N583" s="122"/>
      <c r="O583" s="122"/>
      <c r="P583" s="122"/>
      <c r="Q583" s="122"/>
      <c r="R583" s="122"/>
      <c r="S583" s="122"/>
      <c r="T583" s="122"/>
      <c r="U583" s="122"/>
      <c r="V583" s="122"/>
      <c r="W583" s="122"/>
      <c r="X583" s="122"/>
      <c r="Y583" s="122"/>
    </row>
    <row r="584" spans="1:25" ht="15.75" customHeight="1" x14ac:dyDescent="0.2">
      <c r="A584" s="181"/>
      <c r="B584" s="174"/>
      <c r="C584" s="175"/>
      <c r="D584" s="175"/>
      <c r="E584" s="175"/>
      <c r="F584" s="122"/>
      <c r="G584" s="122"/>
      <c r="H584" s="122"/>
      <c r="I584" s="122"/>
      <c r="J584" s="173"/>
      <c r="K584" s="181"/>
      <c r="L584" s="122"/>
      <c r="M584" s="122"/>
      <c r="N584" s="122"/>
      <c r="O584" s="122"/>
      <c r="P584" s="122"/>
      <c r="Q584" s="122"/>
      <c r="R584" s="122"/>
      <c r="S584" s="122"/>
      <c r="T584" s="122"/>
      <c r="U584" s="122"/>
      <c r="V584" s="122"/>
      <c r="W584" s="122"/>
      <c r="X584" s="122"/>
      <c r="Y584" s="122"/>
    </row>
    <row r="585" spans="1:25" ht="15.75" customHeight="1" x14ac:dyDescent="0.2">
      <c r="A585" s="181"/>
      <c r="B585" s="174"/>
      <c r="C585" s="175"/>
      <c r="D585" s="175"/>
      <c r="E585" s="175"/>
      <c r="F585" s="122"/>
      <c r="G585" s="122"/>
      <c r="H585" s="122"/>
      <c r="I585" s="122"/>
      <c r="J585" s="173"/>
      <c r="K585" s="181"/>
      <c r="L585" s="122"/>
      <c r="M585" s="122"/>
      <c r="N585" s="122"/>
      <c r="O585" s="122"/>
      <c r="P585" s="122"/>
      <c r="Q585" s="122"/>
      <c r="R585" s="122"/>
      <c r="S585" s="122"/>
      <c r="T585" s="122"/>
      <c r="U585" s="122"/>
      <c r="V585" s="122"/>
      <c r="W585" s="122"/>
      <c r="X585" s="122"/>
      <c r="Y585" s="122"/>
    </row>
    <row r="586" spans="1:25" ht="15.75" customHeight="1" x14ac:dyDescent="0.2">
      <c r="A586" s="181"/>
      <c r="B586" s="174"/>
      <c r="C586" s="175"/>
      <c r="D586" s="175"/>
      <c r="E586" s="175"/>
      <c r="F586" s="122"/>
      <c r="G586" s="122"/>
      <c r="H586" s="122"/>
      <c r="I586" s="122"/>
      <c r="J586" s="173"/>
      <c r="K586" s="181"/>
      <c r="L586" s="122"/>
      <c r="M586" s="122"/>
      <c r="N586" s="122"/>
      <c r="O586" s="122"/>
      <c r="P586" s="122"/>
      <c r="Q586" s="122"/>
      <c r="R586" s="122"/>
      <c r="S586" s="122"/>
      <c r="T586" s="122"/>
      <c r="U586" s="122"/>
      <c r="V586" s="122"/>
      <c r="W586" s="122"/>
      <c r="X586" s="122"/>
      <c r="Y586" s="122"/>
    </row>
    <row r="587" spans="1:25" ht="15.75" customHeight="1" x14ac:dyDescent="0.2">
      <c r="A587" s="181"/>
      <c r="B587" s="174"/>
      <c r="C587" s="175"/>
      <c r="D587" s="175"/>
      <c r="E587" s="175"/>
      <c r="F587" s="122"/>
      <c r="G587" s="122"/>
      <c r="H587" s="122"/>
      <c r="I587" s="122"/>
      <c r="J587" s="173"/>
      <c r="K587" s="181"/>
      <c r="L587" s="122"/>
      <c r="M587" s="122"/>
      <c r="N587" s="122"/>
      <c r="O587" s="122"/>
      <c r="P587" s="122"/>
      <c r="Q587" s="122"/>
      <c r="R587" s="122"/>
      <c r="S587" s="122"/>
      <c r="T587" s="122"/>
      <c r="U587" s="122"/>
      <c r="V587" s="122"/>
      <c r="W587" s="122"/>
      <c r="X587" s="122"/>
      <c r="Y587" s="122"/>
    </row>
    <row r="588" spans="1:25" ht="15.75" customHeight="1" x14ac:dyDescent="0.2">
      <c r="A588" s="181"/>
      <c r="B588" s="174"/>
      <c r="C588" s="175"/>
      <c r="D588" s="175"/>
      <c r="E588" s="175"/>
      <c r="F588" s="122"/>
      <c r="G588" s="122"/>
      <c r="H588" s="122"/>
      <c r="I588" s="122"/>
      <c r="J588" s="173"/>
      <c r="K588" s="181"/>
      <c r="L588" s="122"/>
      <c r="M588" s="122"/>
      <c r="N588" s="122"/>
      <c r="O588" s="122"/>
      <c r="P588" s="122"/>
      <c r="Q588" s="122"/>
      <c r="R588" s="122"/>
      <c r="S588" s="122"/>
      <c r="T588" s="122"/>
      <c r="U588" s="122"/>
      <c r="V588" s="122"/>
      <c r="W588" s="122"/>
      <c r="X588" s="122"/>
      <c r="Y588" s="122"/>
    </row>
    <row r="589" spans="1:25" ht="15.75" customHeight="1" x14ac:dyDescent="0.2">
      <c r="A589" s="181"/>
      <c r="B589" s="174"/>
      <c r="C589" s="175"/>
      <c r="D589" s="175"/>
      <c r="E589" s="175"/>
      <c r="F589" s="122"/>
      <c r="G589" s="122"/>
      <c r="H589" s="122"/>
      <c r="I589" s="122"/>
      <c r="J589" s="173"/>
      <c r="K589" s="181"/>
      <c r="L589" s="122"/>
      <c r="M589" s="122"/>
      <c r="N589" s="122"/>
      <c r="O589" s="122"/>
      <c r="P589" s="122"/>
      <c r="Q589" s="122"/>
      <c r="R589" s="122"/>
      <c r="S589" s="122"/>
      <c r="T589" s="122"/>
      <c r="U589" s="122"/>
      <c r="V589" s="122"/>
      <c r="W589" s="122"/>
      <c r="X589" s="122"/>
      <c r="Y589" s="122"/>
    </row>
    <row r="590" spans="1:25" ht="15.75" customHeight="1" x14ac:dyDescent="0.2">
      <c r="A590" s="181"/>
      <c r="B590" s="174"/>
      <c r="C590" s="175"/>
      <c r="D590" s="175"/>
      <c r="E590" s="175"/>
      <c r="F590" s="122"/>
      <c r="G590" s="122"/>
      <c r="H590" s="122"/>
      <c r="I590" s="122"/>
      <c r="J590" s="173"/>
      <c r="K590" s="181"/>
      <c r="L590" s="122"/>
      <c r="M590" s="122"/>
      <c r="N590" s="122"/>
      <c r="O590" s="122"/>
      <c r="P590" s="122"/>
      <c r="Q590" s="122"/>
      <c r="R590" s="122"/>
      <c r="S590" s="122"/>
      <c r="T590" s="122"/>
      <c r="U590" s="122"/>
      <c r="V590" s="122"/>
      <c r="W590" s="122"/>
      <c r="X590" s="122"/>
      <c r="Y590" s="122"/>
    </row>
    <row r="591" spans="1:25" ht="15.75" customHeight="1" x14ac:dyDescent="0.2">
      <c r="A591" s="181"/>
      <c r="B591" s="174"/>
      <c r="C591" s="175"/>
      <c r="D591" s="175"/>
      <c r="E591" s="175"/>
      <c r="F591" s="122"/>
      <c r="G591" s="122"/>
      <c r="H591" s="122"/>
      <c r="I591" s="122"/>
      <c r="J591" s="173"/>
      <c r="K591" s="181"/>
      <c r="L591" s="122"/>
      <c r="M591" s="122"/>
      <c r="N591" s="122"/>
      <c r="O591" s="122"/>
      <c r="P591" s="122"/>
      <c r="Q591" s="122"/>
      <c r="R591" s="122"/>
      <c r="S591" s="122"/>
      <c r="T591" s="122"/>
      <c r="U591" s="122"/>
      <c r="V591" s="122"/>
      <c r="W591" s="122"/>
      <c r="X591" s="122"/>
      <c r="Y591" s="122"/>
    </row>
    <row r="592" spans="1:25" ht="15.75" customHeight="1" x14ac:dyDescent="0.2">
      <c r="A592" s="181"/>
      <c r="B592" s="174"/>
      <c r="C592" s="175"/>
      <c r="D592" s="175"/>
      <c r="E592" s="175"/>
      <c r="F592" s="122"/>
      <c r="G592" s="122"/>
      <c r="H592" s="122"/>
      <c r="I592" s="122"/>
      <c r="J592" s="173"/>
      <c r="K592" s="181"/>
      <c r="L592" s="122"/>
      <c r="M592" s="122"/>
      <c r="N592" s="122"/>
      <c r="O592" s="122"/>
      <c r="P592" s="122"/>
      <c r="Q592" s="122"/>
      <c r="R592" s="122"/>
      <c r="S592" s="122"/>
      <c r="T592" s="122"/>
      <c r="U592" s="122"/>
      <c r="V592" s="122"/>
      <c r="W592" s="122"/>
      <c r="X592" s="122"/>
      <c r="Y592" s="122"/>
    </row>
    <row r="593" spans="1:25" ht="15.75" customHeight="1" x14ac:dyDescent="0.2">
      <c r="A593" s="181"/>
      <c r="B593" s="174"/>
      <c r="C593" s="175"/>
      <c r="D593" s="175"/>
      <c r="E593" s="175"/>
      <c r="F593" s="122"/>
      <c r="G593" s="122"/>
      <c r="H593" s="122"/>
      <c r="I593" s="122"/>
      <c r="J593" s="173"/>
      <c r="K593" s="181"/>
      <c r="L593" s="122"/>
      <c r="M593" s="122"/>
      <c r="N593" s="122"/>
      <c r="O593" s="122"/>
      <c r="P593" s="122"/>
      <c r="Q593" s="122"/>
      <c r="R593" s="122"/>
      <c r="S593" s="122"/>
      <c r="T593" s="122"/>
      <c r="U593" s="122"/>
      <c r="V593" s="122"/>
      <c r="W593" s="122"/>
      <c r="X593" s="122"/>
      <c r="Y593" s="122"/>
    </row>
    <row r="594" spans="1:25" ht="15.75" customHeight="1" x14ac:dyDescent="0.2">
      <c r="A594" s="181"/>
      <c r="B594" s="174"/>
      <c r="C594" s="175"/>
      <c r="D594" s="175"/>
      <c r="E594" s="175"/>
      <c r="F594" s="122"/>
      <c r="G594" s="122"/>
      <c r="H594" s="122"/>
      <c r="I594" s="122"/>
      <c r="J594" s="173"/>
      <c r="K594" s="181"/>
      <c r="L594" s="122"/>
      <c r="M594" s="122"/>
      <c r="N594" s="122"/>
      <c r="O594" s="122"/>
      <c r="P594" s="122"/>
      <c r="Q594" s="122"/>
      <c r="R594" s="122"/>
      <c r="S594" s="122"/>
      <c r="T594" s="122"/>
      <c r="U594" s="122"/>
      <c r="V594" s="122"/>
      <c r="W594" s="122"/>
      <c r="X594" s="122"/>
      <c r="Y594" s="122"/>
    </row>
    <row r="595" spans="1:25" ht="15.75" customHeight="1" x14ac:dyDescent="0.2">
      <c r="A595" s="181"/>
      <c r="B595" s="174"/>
      <c r="C595" s="175"/>
      <c r="D595" s="175"/>
      <c r="E595" s="175"/>
      <c r="F595" s="122"/>
      <c r="G595" s="122"/>
      <c r="H595" s="122"/>
      <c r="I595" s="122"/>
      <c r="J595" s="173"/>
      <c r="K595" s="181"/>
      <c r="L595" s="122"/>
      <c r="M595" s="122"/>
      <c r="N595" s="122"/>
      <c r="O595" s="122"/>
      <c r="P595" s="122"/>
      <c r="Q595" s="122"/>
      <c r="R595" s="122"/>
      <c r="S595" s="122"/>
      <c r="T595" s="122"/>
      <c r="U595" s="122"/>
      <c r="V595" s="122"/>
      <c r="W595" s="122"/>
      <c r="X595" s="122"/>
      <c r="Y595" s="122"/>
    </row>
    <row r="596" spans="1:25" ht="15.75" customHeight="1" x14ac:dyDescent="0.2">
      <c r="A596" s="181"/>
      <c r="B596" s="174"/>
      <c r="C596" s="175"/>
      <c r="D596" s="175"/>
      <c r="E596" s="175"/>
      <c r="F596" s="122"/>
      <c r="G596" s="122"/>
      <c r="H596" s="122"/>
      <c r="I596" s="122"/>
      <c r="J596" s="173"/>
      <c r="K596" s="181"/>
      <c r="L596" s="122"/>
      <c r="M596" s="122"/>
      <c r="N596" s="122"/>
      <c r="O596" s="122"/>
      <c r="P596" s="122"/>
      <c r="Q596" s="122"/>
      <c r="R596" s="122"/>
      <c r="S596" s="122"/>
      <c r="T596" s="122"/>
      <c r="U596" s="122"/>
      <c r="V596" s="122"/>
      <c r="W596" s="122"/>
      <c r="X596" s="122"/>
      <c r="Y596" s="122"/>
    </row>
    <row r="597" spans="1:25" ht="15.75" customHeight="1" x14ac:dyDescent="0.2">
      <c r="A597" s="181"/>
      <c r="B597" s="174"/>
      <c r="C597" s="175"/>
      <c r="D597" s="175"/>
      <c r="E597" s="175"/>
      <c r="F597" s="122"/>
      <c r="G597" s="122"/>
      <c r="H597" s="122"/>
      <c r="I597" s="122"/>
      <c r="J597" s="173"/>
      <c r="K597" s="181"/>
      <c r="L597" s="122"/>
      <c r="M597" s="122"/>
      <c r="N597" s="122"/>
      <c r="O597" s="122"/>
      <c r="P597" s="122"/>
      <c r="Q597" s="122"/>
      <c r="R597" s="122"/>
      <c r="S597" s="122"/>
      <c r="T597" s="122"/>
      <c r="U597" s="122"/>
      <c r="V597" s="122"/>
      <c r="W597" s="122"/>
      <c r="X597" s="122"/>
      <c r="Y597" s="122"/>
    </row>
    <row r="598" spans="1:25" ht="15.75" customHeight="1" x14ac:dyDescent="0.2">
      <c r="A598" s="181"/>
      <c r="B598" s="174"/>
      <c r="C598" s="175"/>
      <c r="D598" s="175"/>
      <c r="E598" s="175"/>
      <c r="F598" s="122"/>
      <c r="G598" s="122"/>
      <c r="H598" s="122"/>
      <c r="I598" s="122"/>
      <c r="J598" s="173"/>
      <c r="K598" s="181"/>
      <c r="L598" s="122"/>
      <c r="M598" s="122"/>
      <c r="N598" s="122"/>
      <c r="O598" s="122"/>
      <c r="P598" s="122"/>
      <c r="Q598" s="122"/>
      <c r="R598" s="122"/>
      <c r="S598" s="122"/>
      <c r="T598" s="122"/>
      <c r="U598" s="122"/>
      <c r="V598" s="122"/>
      <c r="W598" s="122"/>
      <c r="X598" s="122"/>
      <c r="Y598" s="122"/>
    </row>
    <row r="599" spans="1:25" ht="15.75" customHeight="1" x14ac:dyDescent="0.2">
      <c r="A599" s="181"/>
      <c r="B599" s="174"/>
      <c r="C599" s="175"/>
      <c r="D599" s="175"/>
      <c r="E599" s="175"/>
      <c r="F599" s="122"/>
      <c r="G599" s="122"/>
      <c r="H599" s="122"/>
      <c r="I599" s="122"/>
      <c r="J599" s="173"/>
      <c r="K599" s="181"/>
      <c r="L599" s="122"/>
      <c r="M599" s="122"/>
      <c r="N599" s="122"/>
      <c r="O599" s="122"/>
      <c r="P599" s="122"/>
      <c r="Q599" s="122"/>
      <c r="R599" s="122"/>
      <c r="S599" s="122"/>
      <c r="T599" s="122"/>
      <c r="U599" s="122"/>
      <c r="V599" s="122"/>
      <c r="W599" s="122"/>
      <c r="X599" s="122"/>
      <c r="Y599" s="122"/>
    </row>
    <row r="600" spans="1:25" ht="15.75" customHeight="1" x14ac:dyDescent="0.2">
      <c r="A600" s="181"/>
      <c r="B600" s="174"/>
      <c r="C600" s="175"/>
      <c r="D600" s="175"/>
      <c r="E600" s="175"/>
      <c r="F600" s="122"/>
      <c r="G600" s="122"/>
      <c r="H600" s="122"/>
      <c r="I600" s="122"/>
      <c r="J600" s="173"/>
      <c r="K600" s="181"/>
      <c r="L600" s="122"/>
      <c r="M600" s="122"/>
      <c r="N600" s="122"/>
      <c r="O600" s="122"/>
      <c r="P600" s="122"/>
      <c r="Q600" s="122"/>
      <c r="R600" s="122"/>
      <c r="S600" s="122"/>
      <c r="T600" s="122"/>
      <c r="U600" s="122"/>
      <c r="V600" s="122"/>
      <c r="W600" s="122"/>
      <c r="X600" s="122"/>
      <c r="Y600" s="122"/>
    </row>
    <row r="601" spans="1:25" ht="15.75" customHeight="1" x14ac:dyDescent="0.2">
      <c r="A601" s="181"/>
      <c r="B601" s="174"/>
      <c r="C601" s="175"/>
      <c r="D601" s="175"/>
      <c r="E601" s="175"/>
      <c r="F601" s="122"/>
      <c r="G601" s="122"/>
      <c r="H601" s="122"/>
      <c r="I601" s="122"/>
      <c r="J601" s="173"/>
      <c r="K601" s="181"/>
      <c r="L601" s="122"/>
      <c r="M601" s="122"/>
      <c r="N601" s="122"/>
      <c r="O601" s="122"/>
      <c r="P601" s="122"/>
      <c r="Q601" s="122"/>
      <c r="R601" s="122"/>
      <c r="S601" s="122"/>
      <c r="T601" s="122"/>
      <c r="U601" s="122"/>
      <c r="V601" s="122"/>
      <c r="W601" s="122"/>
      <c r="X601" s="122"/>
      <c r="Y601" s="122"/>
    </row>
    <row r="602" spans="1:25" ht="15.75" customHeight="1" x14ac:dyDescent="0.2">
      <c r="A602" s="181"/>
      <c r="B602" s="174"/>
      <c r="C602" s="175"/>
      <c r="D602" s="175"/>
      <c r="E602" s="175"/>
      <c r="F602" s="122"/>
      <c r="G602" s="122"/>
      <c r="H602" s="122"/>
      <c r="I602" s="122"/>
      <c r="J602" s="173"/>
      <c r="K602" s="181"/>
      <c r="L602" s="122"/>
      <c r="M602" s="122"/>
      <c r="N602" s="122"/>
      <c r="O602" s="122"/>
      <c r="P602" s="122"/>
      <c r="Q602" s="122"/>
      <c r="R602" s="122"/>
      <c r="S602" s="122"/>
      <c r="T602" s="122"/>
      <c r="U602" s="122"/>
      <c r="V602" s="122"/>
      <c r="W602" s="122"/>
      <c r="X602" s="122"/>
      <c r="Y602" s="122"/>
    </row>
    <row r="603" spans="1:25" ht="15.75" customHeight="1" x14ac:dyDescent="0.2">
      <c r="A603" s="181"/>
      <c r="B603" s="174"/>
      <c r="C603" s="175"/>
      <c r="D603" s="175"/>
      <c r="E603" s="175"/>
      <c r="F603" s="122"/>
      <c r="G603" s="122"/>
      <c r="H603" s="122"/>
      <c r="I603" s="122"/>
      <c r="J603" s="173"/>
      <c r="K603" s="181"/>
      <c r="L603" s="122"/>
      <c r="M603" s="122"/>
      <c r="N603" s="122"/>
      <c r="O603" s="122"/>
      <c r="P603" s="122"/>
      <c r="Q603" s="122"/>
      <c r="R603" s="122"/>
      <c r="S603" s="122"/>
      <c r="T603" s="122"/>
      <c r="U603" s="122"/>
      <c r="V603" s="122"/>
      <c r="W603" s="122"/>
      <c r="X603" s="122"/>
      <c r="Y603" s="122"/>
    </row>
    <row r="604" spans="1:25" ht="15.75" customHeight="1" x14ac:dyDescent="0.2">
      <c r="A604" s="181"/>
      <c r="B604" s="174"/>
      <c r="C604" s="175"/>
      <c r="D604" s="175"/>
      <c r="E604" s="175"/>
      <c r="F604" s="122"/>
      <c r="G604" s="122"/>
      <c r="H604" s="122"/>
      <c r="I604" s="122"/>
      <c r="J604" s="173"/>
      <c r="K604" s="181"/>
      <c r="L604" s="122"/>
      <c r="M604" s="122"/>
      <c r="N604" s="122"/>
      <c r="O604" s="122"/>
      <c r="P604" s="122"/>
      <c r="Q604" s="122"/>
      <c r="R604" s="122"/>
      <c r="S604" s="122"/>
      <c r="T604" s="122"/>
      <c r="U604" s="122"/>
      <c r="V604" s="122"/>
      <c r="W604" s="122"/>
      <c r="X604" s="122"/>
      <c r="Y604" s="122"/>
    </row>
    <row r="605" spans="1:25" ht="15.75" customHeight="1" x14ac:dyDescent="0.2">
      <c r="A605" s="181"/>
      <c r="B605" s="174"/>
      <c r="C605" s="175"/>
      <c r="D605" s="175"/>
      <c r="E605" s="175"/>
      <c r="F605" s="122"/>
      <c r="G605" s="122"/>
      <c r="H605" s="122"/>
      <c r="I605" s="122"/>
      <c r="J605" s="173"/>
      <c r="K605" s="181"/>
      <c r="L605" s="122"/>
      <c r="M605" s="122"/>
      <c r="N605" s="122"/>
      <c r="O605" s="122"/>
      <c r="P605" s="122"/>
      <c r="Q605" s="122"/>
      <c r="R605" s="122"/>
      <c r="S605" s="122"/>
      <c r="T605" s="122"/>
      <c r="U605" s="122"/>
      <c r="V605" s="122"/>
      <c r="W605" s="122"/>
      <c r="X605" s="122"/>
      <c r="Y605" s="122"/>
    </row>
    <row r="606" spans="1:25" ht="15.75" customHeight="1" x14ac:dyDescent="0.2">
      <c r="A606" s="181"/>
      <c r="B606" s="174"/>
      <c r="C606" s="175"/>
      <c r="D606" s="175"/>
      <c r="E606" s="175"/>
      <c r="F606" s="122"/>
      <c r="G606" s="122"/>
      <c r="H606" s="122"/>
      <c r="I606" s="122"/>
      <c r="J606" s="173"/>
      <c r="K606" s="181"/>
      <c r="L606" s="122"/>
      <c r="M606" s="122"/>
      <c r="N606" s="122"/>
      <c r="O606" s="122"/>
      <c r="P606" s="122"/>
      <c r="Q606" s="122"/>
      <c r="R606" s="122"/>
      <c r="S606" s="122"/>
      <c r="T606" s="122"/>
      <c r="U606" s="122"/>
      <c r="V606" s="122"/>
      <c r="W606" s="122"/>
      <c r="X606" s="122"/>
      <c r="Y606" s="122"/>
    </row>
    <row r="607" spans="1:25" ht="15.75" customHeight="1" x14ac:dyDescent="0.2">
      <c r="A607" s="181"/>
      <c r="B607" s="174"/>
      <c r="C607" s="175"/>
      <c r="D607" s="175"/>
      <c r="E607" s="175"/>
      <c r="F607" s="122"/>
      <c r="G607" s="122"/>
      <c r="H607" s="122"/>
      <c r="I607" s="122"/>
      <c r="J607" s="173"/>
      <c r="K607" s="181"/>
      <c r="L607" s="122"/>
      <c r="M607" s="122"/>
      <c r="N607" s="122"/>
      <c r="O607" s="122"/>
      <c r="P607" s="122"/>
      <c r="Q607" s="122"/>
      <c r="R607" s="122"/>
      <c r="S607" s="122"/>
      <c r="T607" s="122"/>
      <c r="U607" s="122"/>
      <c r="V607" s="122"/>
      <c r="W607" s="122"/>
      <c r="X607" s="122"/>
      <c r="Y607" s="122"/>
    </row>
    <row r="608" spans="1:25" ht="15.75" customHeight="1" x14ac:dyDescent="0.2">
      <c r="A608" s="181"/>
      <c r="B608" s="174"/>
      <c r="C608" s="175"/>
      <c r="D608" s="175"/>
      <c r="E608" s="175"/>
      <c r="F608" s="122"/>
      <c r="G608" s="122"/>
      <c r="H608" s="122"/>
      <c r="I608" s="122"/>
      <c r="J608" s="173"/>
      <c r="K608" s="181"/>
      <c r="L608" s="122"/>
      <c r="M608" s="122"/>
      <c r="N608" s="122"/>
      <c r="O608" s="122"/>
      <c r="P608" s="122"/>
      <c r="Q608" s="122"/>
      <c r="R608" s="122"/>
      <c r="S608" s="122"/>
      <c r="T608" s="122"/>
      <c r="U608" s="122"/>
      <c r="V608" s="122"/>
      <c r="W608" s="122"/>
      <c r="X608" s="122"/>
      <c r="Y608" s="122"/>
    </row>
    <row r="609" spans="1:25" ht="15.75" customHeight="1" x14ac:dyDescent="0.2">
      <c r="A609" s="181"/>
      <c r="B609" s="174"/>
      <c r="C609" s="175"/>
      <c r="D609" s="175"/>
      <c r="E609" s="175"/>
      <c r="F609" s="122"/>
      <c r="G609" s="122"/>
      <c r="H609" s="122"/>
      <c r="I609" s="122"/>
      <c r="J609" s="173"/>
      <c r="K609" s="181"/>
      <c r="L609" s="122"/>
      <c r="M609" s="122"/>
      <c r="N609" s="122"/>
      <c r="O609" s="122"/>
      <c r="P609" s="122"/>
      <c r="Q609" s="122"/>
      <c r="R609" s="122"/>
      <c r="S609" s="122"/>
      <c r="T609" s="122"/>
      <c r="U609" s="122"/>
      <c r="V609" s="122"/>
      <c r="W609" s="122"/>
      <c r="X609" s="122"/>
      <c r="Y609" s="122"/>
    </row>
    <row r="610" spans="1:25" ht="15.75" customHeight="1" x14ac:dyDescent="0.2">
      <c r="A610" s="181"/>
      <c r="B610" s="174"/>
      <c r="C610" s="175"/>
      <c r="D610" s="175"/>
      <c r="E610" s="175"/>
      <c r="F610" s="122"/>
      <c r="G610" s="122"/>
      <c r="H610" s="122"/>
      <c r="I610" s="122"/>
      <c r="J610" s="173"/>
      <c r="K610" s="181"/>
      <c r="L610" s="122"/>
      <c r="M610" s="122"/>
      <c r="N610" s="122"/>
      <c r="O610" s="122"/>
      <c r="P610" s="122"/>
      <c r="Q610" s="122"/>
      <c r="R610" s="122"/>
      <c r="S610" s="122"/>
      <c r="T610" s="122"/>
      <c r="U610" s="122"/>
      <c r="V610" s="122"/>
      <c r="W610" s="122"/>
      <c r="X610" s="122"/>
      <c r="Y610" s="122"/>
    </row>
    <row r="611" spans="1:25" ht="15.75" customHeight="1" x14ac:dyDescent="0.2">
      <c r="A611" s="181"/>
      <c r="B611" s="174"/>
      <c r="C611" s="175"/>
      <c r="D611" s="175"/>
      <c r="E611" s="175"/>
      <c r="F611" s="122"/>
      <c r="G611" s="122"/>
      <c r="H611" s="122"/>
      <c r="I611" s="122"/>
      <c r="J611" s="173"/>
      <c r="K611" s="181"/>
      <c r="L611" s="122"/>
      <c r="M611" s="122"/>
      <c r="N611" s="122"/>
      <c r="O611" s="122"/>
      <c r="P611" s="122"/>
      <c r="Q611" s="122"/>
      <c r="R611" s="122"/>
      <c r="S611" s="122"/>
      <c r="T611" s="122"/>
      <c r="U611" s="122"/>
      <c r="V611" s="122"/>
      <c r="W611" s="122"/>
      <c r="X611" s="122"/>
      <c r="Y611" s="122"/>
    </row>
    <row r="612" spans="1:25" ht="15.75" customHeight="1" x14ac:dyDescent="0.2">
      <c r="A612" s="181"/>
      <c r="B612" s="174"/>
      <c r="C612" s="175"/>
      <c r="D612" s="175"/>
      <c r="E612" s="175"/>
      <c r="F612" s="122"/>
      <c r="G612" s="122"/>
      <c r="H612" s="122"/>
      <c r="I612" s="122"/>
      <c r="J612" s="173"/>
      <c r="K612" s="181"/>
      <c r="L612" s="122"/>
      <c r="M612" s="122"/>
      <c r="N612" s="122"/>
      <c r="O612" s="122"/>
      <c r="P612" s="122"/>
      <c r="Q612" s="122"/>
      <c r="R612" s="122"/>
      <c r="S612" s="122"/>
      <c r="T612" s="122"/>
      <c r="U612" s="122"/>
      <c r="V612" s="122"/>
      <c r="W612" s="122"/>
      <c r="X612" s="122"/>
      <c r="Y612" s="122"/>
    </row>
    <row r="613" spans="1:25" ht="15.75" customHeight="1" x14ac:dyDescent="0.2">
      <c r="A613" s="181"/>
      <c r="B613" s="174"/>
      <c r="C613" s="175"/>
      <c r="D613" s="175"/>
      <c r="E613" s="175"/>
      <c r="F613" s="122"/>
      <c r="G613" s="122"/>
      <c r="H613" s="122"/>
      <c r="I613" s="122"/>
      <c r="J613" s="173"/>
      <c r="K613" s="181"/>
      <c r="L613" s="122"/>
      <c r="M613" s="122"/>
      <c r="N613" s="122"/>
      <c r="O613" s="122"/>
      <c r="P613" s="122"/>
      <c r="Q613" s="122"/>
      <c r="R613" s="122"/>
      <c r="S613" s="122"/>
      <c r="T613" s="122"/>
      <c r="U613" s="122"/>
      <c r="V613" s="122"/>
      <c r="W613" s="122"/>
      <c r="X613" s="122"/>
      <c r="Y613" s="122"/>
    </row>
    <row r="614" spans="1:25" ht="15.75" customHeight="1" x14ac:dyDescent="0.2">
      <c r="A614" s="181"/>
      <c r="B614" s="174"/>
      <c r="C614" s="175"/>
      <c r="D614" s="175"/>
      <c r="E614" s="175"/>
      <c r="F614" s="122"/>
      <c r="G614" s="122"/>
      <c r="H614" s="122"/>
      <c r="I614" s="122"/>
      <c r="J614" s="173"/>
      <c r="K614" s="181"/>
      <c r="L614" s="122"/>
      <c r="M614" s="122"/>
      <c r="N614" s="122"/>
      <c r="O614" s="122"/>
      <c r="P614" s="122"/>
      <c r="Q614" s="122"/>
      <c r="R614" s="122"/>
      <c r="S614" s="122"/>
      <c r="T614" s="122"/>
      <c r="U614" s="122"/>
      <c r="V614" s="122"/>
      <c r="W614" s="122"/>
      <c r="X614" s="122"/>
      <c r="Y614" s="122"/>
    </row>
    <row r="615" spans="1:25" ht="15.75" customHeight="1" x14ac:dyDescent="0.2">
      <c r="A615" s="181"/>
      <c r="B615" s="174"/>
      <c r="C615" s="175"/>
      <c r="D615" s="175"/>
      <c r="E615" s="175"/>
      <c r="F615" s="122"/>
      <c r="G615" s="122"/>
      <c r="H615" s="122"/>
      <c r="I615" s="122"/>
      <c r="J615" s="173"/>
      <c r="K615" s="181"/>
      <c r="L615" s="122"/>
      <c r="M615" s="122"/>
      <c r="N615" s="122"/>
      <c r="O615" s="122"/>
      <c r="P615" s="122"/>
      <c r="Q615" s="122"/>
      <c r="R615" s="122"/>
      <c r="S615" s="122"/>
      <c r="T615" s="122"/>
      <c r="U615" s="122"/>
      <c r="V615" s="122"/>
      <c r="W615" s="122"/>
      <c r="X615" s="122"/>
      <c r="Y615" s="122"/>
    </row>
    <row r="616" spans="1:25" ht="15.75" customHeight="1" x14ac:dyDescent="0.2">
      <c r="A616" s="181"/>
      <c r="B616" s="174"/>
      <c r="C616" s="175"/>
      <c r="D616" s="175"/>
      <c r="E616" s="175"/>
      <c r="F616" s="122"/>
      <c r="G616" s="122"/>
      <c r="H616" s="122"/>
      <c r="I616" s="122"/>
      <c r="J616" s="173"/>
      <c r="K616" s="181"/>
      <c r="L616" s="122"/>
      <c r="M616" s="122"/>
      <c r="N616" s="122"/>
      <c r="O616" s="122"/>
      <c r="P616" s="122"/>
      <c r="Q616" s="122"/>
      <c r="R616" s="122"/>
      <c r="S616" s="122"/>
      <c r="T616" s="122"/>
      <c r="U616" s="122"/>
      <c r="V616" s="122"/>
      <c r="W616" s="122"/>
      <c r="X616" s="122"/>
      <c r="Y616" s="122"/>
    </row>
    <row r="617" spans="1:25" ht="15.75" customHeight="1" x14ac:dyDescent="0.2">
      <c r="A617" s="181"/>
      <c r="B617" s="174"/>
      <c r="C617" s="175"/>
      <c r="D617" s="175"/>
      <c r="E617" s="175"/>
      <c r="F617" s="122"/>
      <c r="G617" s="122"/>
      <c r="H617" s="122"/>
      <c r="I617" s="122"/>
      <c r="J617" s="173"/>
      <c r="K617" s="181"/>
      <c r="L617" s="122"/>
      <c r="M617" s="122"/>
      <c r="N617" s="122"/>
      <c r="O617" s="122"/>
      <c r="P617" s="122"/>
      <c r="Q617" s="122"/>
      <c r="R617" s="122"/>
      <c r="S617" s="122"/>
      <c r="T617" s="122"/>
      <c r="U617" s="122"/>
      <c r="V617" s="122"/>
      <c r="W617" s="122"/>
      <c r="X617" s="122"/>
      <c r="Y617" s="122"/>
    </row>
    <row r="618" spans="1:25" ht="15.75" customHeight="1" x14ac:dyDescent="0.2">
      <c r="A618" s="181"/>
      <c r="B618" s="174"/>
      <c r="C618" s="175"/>
      <c r="D618" s="175"/>
      <c r="E618" s="175"/>
      <c r="F618" s="122"/>
      <c r="G618" s="122"/>
      <c r="H618" s="122"/>
      <c r="I618" s="122"/>
      <c r="J618" s="173"/>
      <c r="K618" s="181"/>
      <c r="L618" s="122"/>
      <c r="M618" s="122"/>
      <c r="N618" s="122"/>
      <c r="O618" s="122"/>
      <c r="P618" s="122"/>
      <c r="Q618" s="122"/>
      <c r="R618" s="122"/>
      <c r="S618" s="122"/>
      <c r="T618" s="122"/>
      <c r="U618" s="122"/>
      <c r="V618" s="122"/>
      <c r="W618" s="122"/>
      <c r="X618" s="122"/>
      <c r="Y618" s="122"/>
    </row>
    <row r="619" spans="1:25" ht="15.75" customHeight="1" x14ac:dyDescent="0.2">
      <c r="A619" s="181"/>
      <c r="B619" s="174"/>
      <c r="C619" s="175"/>
      <c r="D619" s="175"/>
      <c r="E619" s="175"/>
      <c r="F619" s="122"/>
      <c r="G619" s="122"/>
      <c r="H619" s="122"/>
      <c r="I619" s="122"/>
      <c r="J619" s="173"/>
      <c r="K619" s="181"/>
      <c r="L619" s="122"/>
      <c r="M619" s="122"/>
      <c r="N619" s="122"/>
      <c r="O619" s="122"/>
      <c r="P619" s="122"/>
      <c r="Q619" s="122"/>
      <c r="R619" s="122"/>
      <c r="S619" s="122"/>
      <c r="T619" s="122"/>
      <c r="U619" s="122"/>
      <c r="V619" s="122"/>
      <c r="W619" s="122"/>
      <c r="X619" s="122"/>
      <c r="Y619" s="122"/>
    </row>
    <row r="620" spans="1:25" ht="15.75" customHeight="1" x14ac:dyDescent="0.2">
      <c r="A620" s="181"/>
      <c r="B620" s="174"/>
      <c r="C620" s="175"/>
      <c r="D620" s="175"/>
      <c r="E620" s="175"/>
      <c r="F620" s="122"/>
      <c r="G620" s="122"/>
      <c r="H620" s="122"/>
      <c r="I620" s="122"/>
      <c r="J620" s="173"/>
      <c r="K620" s="181"/>
      <c r="L620" s="122"/>
      <c r="M620" s="122"/>
      <c r="N620" s="122"/>
      <c r="O620" s="122"/>
      <c r="P620" s="122"/>
      <c r="Q620" s="122"/>
      <c r="R620" s="122"/>
      <c r="S620" s="122"/>
      <c r="T620" s="122"/>
      <c r="U620" s="122"/>
      <c r="V620" s="122"/>
      <c r="W620" s="122"/>
      <c r="X620" s="122"/>
      <c r="Y620" s="122"/>
    </row>
    <row r="621" spans="1:25" ht="15.75" customHeight="1" x14ac:dyDescent="0.2">
      <c r="A621" s="181"/>
      <c r="B621" s="174"/>
      <c r="C621" s="175"/>
      <c r="D621" s="175"/>
      <c r="E621" s="175"/>
      <c r="F621" s="122"/>
      <c r="G621" s="122"/>
      <c r="H621" s="122"/>
      <c r="I621" s="122"/>
      <c r="J621" s="173"/>
      <c r="K621" s="181"/>
      <c r="L621" s="122"/>
      <c r="M621" s="122"/>
      <c r="N621" s="122"/>
      <c r="O621" s="122"/>
      <c r="P621" s="122"/>
      <c r="Q621" s="122"/>
      <c r="R621" s="122"/>
      <c r="S621" s="122"/>
      <c r="T621" s="122"/>
      <c r="U621" s="122"/>
      <c r="V621" s="122"/>
      <c r="W621" s="122"/>
      <c r="X621" s="122"/>
      <c r="Y621" s="122"/>
    </row>
    <row r="622" spans="1:25" ht="15.75" customHeight="1" x14ac:dyDescent="0.2">
      <c r="A622" s="181"/>
      <c r="B622" s="174"/>
      <c r="C622" s="175"/>
      <c r="D622" s="175"/>
      <c r="E622" s="175"/>
      <c r="F622" s="122"/>
      <c r="G622" s="122"/>
      <c r="H622" s="122"/>
      <c r="I622" s="122"/>
      <c r="J622" s="173"/>
      <c r="K622" s="181"/>
      <c r="L622" s="122"/>
      <c r="M622" s="122"/>
      <c r="N622" s="122"/>
      <c r="O622" s="122"/>
      <c r="P622" s="122"/>
      <c r="Q622" s="122"/>
      <c r="R622" s="122"/>
      <c r="S622" s="122"/>
      <c r="T622" s="122"/>
      <c r="U622" s="122"/>
      <c r="V622" s="122"/>
      <c r="W622" s="122"/>
      <c r="X622" s="122"/>
      <c r="Y622" s="122"/>
    </row>
    <row r="623" spans="1:25" ht="15.75" customHeight="1" x14ac:dyDescent="0.2">
      <c r="A623" s="181"/>
      <c r="B623" s="174"/>
      <c r="C623" s="175"/>
      <c r="D623" s="175"/>
      <c r="E623" s="175"/>
      <c r="F623" s="122"/>
      <c r="G623" s="122"/>
      <c r="H623" s="122"/>
      <c r="I623" s="122"/>
      <c r="J623" s="173"/>
      <c r="K623" s="181"/>
      <c r="L623" s="122"/>
      <c r="M623" s="122"/>
      <c r="N623" s="122"/>
      <c r="O623" s="122"/>
      <c r="P623" s="122"/>
      <c r="Q623" s="122"/>
      <c r="R623" s="122"/>
      <c r="S623" s="122"/>
      <c r="T623" s="122"/>
      <c r="U623" s="122"/>
      <c r="V623" s="122"/>
      <c r="W623" s="122"/>
      <c r="X623" s="122"/>
      <c r="Y623" s="122"/>
    </row>
    <row r="624" spans="1:25" ht="15.75" customHeight="1" x14ac:dyDescent="0.2">
      <c r="A624" s="181"/>
      <c r="B624" s="174"/>
      <c r="C624" s="175"/>
      <c r="D624" s="175"/>
      <c r="E624" s="175"/>
      <c r="F624" s="122"/>
      <c r="G624" s="122"/>
      <c r="H624" s="122"/>
      <c r="I624" s="122"/>
      <c r="J624" s="173"/>
      <c r="K624" s="181"/>
      <c r="L624" s="122"/>
      <c r="M624" s="122"/>
      <c r="N624" s="122"/>
      <c r="O624" s="122"/>
      <c r="P624" s="122"/>
      <c r="Q624" s="122"/>
      <c r="R624" s="122"/>
      <c r="S624" s="122"/>
      <c r="T624" s="122"/>
      <c r="U624" s="122"/>
      <c r="V624" s="122"/>
      <c r="W624" s="122"/>
      <c r="X624" s="122"/>
      <c r="Y624" s="122"/>
    </row>
    <row r="625" spans="1:25" ht="15.75" customHeight="1" x14ac:dyDescent="0.2">
      <c r="A625" s="181"/>
      <c r="B625" s="174"/>
      <c r="C625" s="175"/>
      <c r="D625" s="175"/>
      <c r="E625" s="175"/>
      <c r="F625" s="122"/>
      <c r="G625" s="122"/>
      <c r="H625" s="122"/>
      <c r="I625" s="122"/>
      <c r="J625" s="173"/>
      <c r="K625" s="181"/>
      <c r="L625" s="122"/>
      <c r="M625" s="122"/>
      <c r="N625" s="122"/>
      <c r="O625" s="122"/>
      <c r="P625" s="122"/>
      <c r="Q625" s="122"/>
      <c r="R625" s="122"/>
      <c r="S625" s="122"/>
      <c r="T625" s="122"/>
      <c r="U625" s="122"/>
      <c r="V625" s="122"/>
      <c r="W625" s="122"/>
      <c r="X625" s="122"/>
      <c r="Y625" s="122"/>
    </row>
    <row r="626" spans="1:25" ht="15.75" customHeight="1" x14ac:dyDescent="0.2">
      <c r="A626" s="181"/>
      <c r="B626" s="174"/>
      <c r="C626" s="175"/>
      <c r="D626" s="175"/>
      <c r="E626" s="175"/>
      <c r="F626" s="122"/>
      <c r="G626" s="122"/>
      <c r="H626" s="122"/>
      <c r="I626" s="122"/>
      <c r="J626" s="173"/>
      <c r="K626" s="181"/>
      <c r="L626" s="122"/>
      <c r="M626" s="122"/>
      <c r="N626" s="122"/>
      <c r="O626" s="122"/>
      <c r="P626" s="122"/>
      <c r="Q626" s="122"/>
      <c r="R626" s="122"/>
      <c r="S626" s="122"/>
      <c r="T626" s="122"/>
      <c r="U626" s="122"/>
      <c r="V626" s="122"/>
      <c r="W626" s="122"/>
      <c r="X626" s="122"/>
      <c r="Y626" s="122"/>
    </row>
    <row r="627" spans="1:25" ht="15.75" customHeight="1" x14ac:dyDescent="0.2">
      <c r="A627" s="181"/>
      <c r="B627" s="174"/>
      <c r="C627" s="175"/>
      <c r="D627" s="175"/>
      <c r="E627" s="175"/>
      <c r="F627" s="122"/>
      <c r="G627" s="122"/>
      <c r="H627" s="122"/>
      <c r="I627" s="122"/>
      <c r="J627" s="173"/>
      <c r="K627" s="181"/>
      <c r="L627" s="122"/>
      <c r="M627" s="122"/>
      <c r="N627" s="122"/>
      <c r="O627" s="122"/>
      <c r="P627" s="122"/>
      <c r="Q627" s="122"/>
      <c r="R627" s="122"/>
      <c r="S627" s="122"/>
      <c r="T627" s="122"/>
      <c r="U627" s="122"/>
      <c r="V627" s="122"/>
      <c r="W627" s="122"/>
      <c r="X627" s="122"/>
      <c r="Y627" s="122"/>
    </row>
    <row r="628" spans="1:25" ht="15.75" customHeight="1" x14ac:dyDescent="0.2">
      <c r="A628" s="181"/>
      <c r="B628" s="174"/>
      <c r="C628" s="175"/>
      <c r="D628" s="175"/>
      <c r="E628" s="175"/>
      <c r="F628" s="122"/>
      <c r="G628" s="122"/>
      <c r="H628" s="122"/>
      <c r="I628" s="122"/>
      <c r="J628" s="173"/>
      <c r="K628" s="181"/>
      <c r="L628" s="122"/>
      <c r="M628" s="122"/>
      <c r="N628" s="122"/>
      <c r="O628" s="122"/>
      <c r="P628" s="122"/>
      <c r="Q628" s="122"/>
      <c r="R628" s="122"/>
      <c r="S628" s="122"/>
      <c r="T628" s="122"/>
      <c r="U628" s="122"/>
      <c r="V628" s="122"/>
      <c r="W628" s="122"/>
      <c r="X628" s="122"/>
      <c r="Y628" s="122"/>
    </row>
    <row r="629" spans="1:25" ht="15.75" customHeight="1" x14ac:dyDescent="0.2">
      <c r="A629" s="181"/>
      <c r="B629" s="174"/>
      <c r="C629" s="175"/>
      <c r="D629" s="175"/>
      <c r="E629" s="175"/>
      <c r="F629" s="122"/>
      <c r="G629" s="122"/>
      <c r="H629" s="122"/>
      <c r="I629" s="122"/>
      <c r="J629" s="173"/>
      <c r="K629" s="181"/>
      <c r="L629" s="122"/>
      <c r="M629" s="122"/>
      <c r="N629" s="122"/>
      <c r="O629" s="122"/>
      <c r="P629" s="122"/>
      <c r="Q629" s="122"/>
      <c r="R629" s="122"/>
      <c r="S629" s="122"/>
      <c r="T629" s="122"/>
      <c r="U629" s="122"/>
      <c r="V629" s="122"/>
      <c r="W629" s="122"/>
      <c r="X629" s="122"/>
      <c r="Y629" s="122"/>
    </row>
    <row r="630" spans="1:25" ht="15.75" customHeight="1" x14ac:dyDescent="0.2">
      <c r="A630" s="181"/>
      <c r="B630" s="174"/>
      <c r="C630" s="175"/>
      <c r="D630" s="175"/>
      <c r="E630" s="175"/>
      <c r="F630" s="122"/>
      <c r="G630" s="122"/>
      <c r="H630" s="122"/>
      <c r="I630" s="122"/>
      <c r="J630" s="173"/>
      <c r="K630" s="181"/>
      <c r="L630" s="122"/>
      <c r="M630" s="122"/>
      <c r="N630" s="122"/>
      <c r="O630" s="122"/>
      <c r="P630" s="122"/>
      <c r="Q630" s="122"/>
      <c r="R630" s="122"/>
      <c r="S630" s="122"/>
      <c r="T630" s="122"/>
      <c r="U630" s="122"/>
      <c r="V630" s="122"/>
      <c r="W630" s="122"/>
      <c r="X630" s="122"/>
      <c r="Y630" s="122"/>
    </row>
    <row r="631" spans="1:25" ht="15.75" customHeight="1" x14ac:dyDescent="0.2">
      <c r="A631" s="181"/>
      <c r="B631" s="174"/>
      <c r="C631" s="175"/>
      <c r="D631" s="175"/>
      <c r="E631" s="175"/>
      <c r="F631" s="122"/>
      <c r="G631" s="122"/>
      <c r="H631" s="122"/>
      <c r="I631" s="122"/>
      <c r="J631" s="173"/>
      <c r="K631" s="181"/>
      <c r="L631" s="122"/>
      <c r="M631" s="122"/>
      <c r="N631" s="122"/>
      <c r="O631" s="122"/>
      <c r="P631" s="122"/>
      <c r="Q631" s="122"/>
      <c r="R631" s="122"/>
      <c r="S631" s="122"/>
      <c r="T631" s="122"/>
      <c r="U631" s="122"/>
      <c r="V631" s="122"/>
      <c r="W631" s="122"/>
      <c r="X631" s="122"/>
      <c r="Y631" s="122"/>
    </row>
    <row r="632" spans="1:25" ht="15.75" customHeight="1" x14ac:dyDescent="0.2">
      <c r="A632" s="181"/>
      <c r="B632" s="174"/>
      <c r="C632" s="175"/>
      <c r="D632" s="175"/>
      <c r="E632" s="175"/>
      <c r="F632" s="122"/>
      <c r="G632" s="122"/>
      <c r="H632" s="122"/>
      <c r="I632" s="122"/>
      <c r="J632" s="173"/>
      <c r="K632" s="181"/>
      <c r="L632" s="122"/>
      <c r="M632" s="122"/>
      <c r="N632" s="122"/>
      <c r="O632" s="122"/>
      <c r="P632" s="122"/>
      <c r="Q632" s="122"/>
      <c r="R632" s="122"/>
      <c r="S632" s="122"/>
      <c r="T632" s="122"/>
      <c r="U632" s="122"/>
      <c r="V632" s="122"/>
      <c r="W632" s="122"/>
      <c r="X632" s="122"/>
      <c r="Y632" s="122"/>
    </row>
    <row r="633" spans="1:25" ht="15.75" customHeight="1" x14ac:dyDescent="0.2">
      <c r="A633" s="181"/>
      <c r="B633" s="174"/>
      <c r="C633" s="175"/>
      <c r="D633" s="175"/>
      <c r="E633" s="175"/>
      <c r="F633" s="122"/>
      <c r="G633" s="122"/>
      <c r="H633" s="122"/>
      <c r="I633" s="122"/>
      <c r="J633" s="173"/>
      <c r="K633" s="181"/>
      <c r="L633" s="122"/>
      <c r="M633" s="122"/>
      <c r="N633" s="122"/>
      <c r="O633" s="122"/>
      <c r="P633" s="122"/>
      <c r="Q633" s="122"/>
      <c r="R633" s="122"/>
      <c r="S633" s="122"/>
      <c r="T633" s="122"/>
      <c r="U633" s="122"/>
      <c r="V633" s="122"/>
      <c r="W633" s="122"/>
      <c r="X633" s="122"/>
      <c r="Y633" s="122"/>
    </row>
    <row r="634" spans="1:25" ht="15.75" customHeight="1" x14ac:dyDescent="0.2">
      <c r="A634" s="181"/>
      <c r="B634" s="174"/>
      <c r="C634" s="175"/>
      <c r="D634" s="175"/>
      <c r="E634" s="175"/>
      <c r="F634" s="122"/>
      <c r="G634" s="122"/>
      <c r="H634" s="122"/>
      <c r="I634" s="122"/>
      <c r="J634" s="173"/>
      <c r="K634" s="181"/>
      <c r="L634" s="122"/>
      <c r="M634" s="122"/>
      <c r="N634" s="122"/>
      <c r="O634" s="122"/>
      <c r="P634" s="122"/>
      <c r="Q634" s="122"/>
      <c r="R634" s="122"/>
      <c r="S634" s="122"/>
      <c r="T634" s="122"/>
      <c r="U634" s="122"/>
      <c r="V634" s="122"/>
      <c r="W634" s="122"/>
      <c r="X634" s="122"/>
      <c r="Y634" s="122"/>
    </row>
    <row r="635" spans="1:25" ht="15.75" customHeight="1" x14ac:dyDescent="0.2">
      <c r="A635" s="181"/>
      <c r="B635" s="174"/>
      <c r="C635" s="175"/>
      <c r="D635" s="175"/>
      <c r="E635" s="175"/>
      <c r="F635" s="122"/>
      <c r="G635" s="122"/>
      <c r="H635" s="122"/>
      <c r="I635" s="122"/>
      <c r="J635" s="173"/>
      <c r="K635" s="181"/>
      <c r="L635" s="122"/>
      <c r="M635" s="122"/>
      <c r="N635" s="122"/>
      <c r="O635" s="122"/>
      <c r="P635" s="122"/>
      <c r="Q635" s="122"/>
      <c r="R635" s="122"/>
      <c r="S635" s="122"/>
      <c r="T635" s="122"/>
      <c r="U635" s="122"/>
      <c r="V635" s="122"/>
      <c r="W635" s="122"/>
      <c r="X635" s="122"/>
      <c r="Y635" s="122"/>
    </row>
    <row r="636" spans="1:25" ht="15.75" customHeight="1" x14ac:dyDescent="0.2">
      <c r="A636" s="181"/>
      <c r="B636" s="174"/>
      <c r="C636" s="175"/>
      <c r="D636" s="175"/>
      <c r="E636" s="175"/>
      <c r="F636" s="122"/>
      <c r="G636" s="122"/>
      <c r="H636" s="122"/>
      <c r="I636" s="122"/>
      <c r="J636" s="173"/>
      <c r="K636" s="181"/>
      <c r="L636" s="122"/>
      <c r="M636" s="122"/>
      <c r="N636" s="122"/>
      <c r="O636" s="122"/>
      <c r="P636" s="122"/>
      <c r="Q636" s="122"/>
      <c r="R636" s="122"/>
      <c r="S636" s="122"/>
      <c r="T636" s="122"/>
      <c r="U636" s="122"/>
      <c r="V636" s="122"/>
      <c r="W636" s="122"/>
      <c r="X636" s="122"/>
      <c r="Y636" s="122"/>
    </row>
    <row r="637" spans="1:25" ht="15.75" customHeight="1" x14ac:dyDescent="0.2">
      <c r="A637" s="181"/>
      <c r="B637" s="174"/>
      <c r="C637" s="175"/>
      <c r="D637" s="175"/>
      <c r="E637" s="175"/>
      <c r="F637" s="122"/>
      <c r="G637" s="122"/>
      <c r="H637" s="122"/>
      <c r="I637" s="122"/>
      <c r="J637" s="173"/>
      <c r="K637" s="181"/>
      <c r="L637" s="122"/>
      <c r="M637" s="122"/>
      <c r="N637" s="122"/>
      <c r="O637" s="122"/>
      <c r="P637" s="122"/>
      <c r="Q637" s="122"/>
      <c r="R637" s="122"/>
      <c r="S637" s="122"/>
      <c r="T637" s="122"/>
      <c r="U637" s="122"/>
      <c r="V637" s="122"/>
      <c r="W637" s="122"/>
      <c r="X637" s="122"/>
      <c r="Y637" s="122"/>
    </row>
    <row r="638" spans="1:25" ht="15.75" customHeight="1" x14ac:dyDescent="0.2">
      <c r="A638" s="181"/>
      <c r="B638" s="174"/>
      <c r="C638" s="175"/>
      <c r="D638" s="175"/>
      <c r="E638" s="175"/>
      <c r="F638" s="122"/>
      <c r="G638" s="122"/>
      <c r="H638" s="122"/>
      <c r="I638" s="122"/>
      <c r="J638" s="173"/>
      <c r="K638" s="181"/>
      <c r="L638" s="122"/>
      <c r="M638" s="122"/>
      <c r="N638" s="122"/>
      <c r="O638" s="122"/>
      <c r="P638" s="122"/>
      <c r="Q638" s="122"/>
      <c r="R638" s="122"/>
      <c r="S638" s="122"/>
      <c r="T638" s="122"/>
      <c r="U638" s="122"/>
      <c r="V638" s="122"/>
      <c r="W638" s="122"/>
      <c r="X638" s="122"/>
      <c r="Y638" s="122"/>
    </row>
    <row r="639" spans="1:25" ht="15.75" customHeight="1" x14ac:dyDescent="0.2">
      <c r="A639" s="181"/>
      <c r="B639" s="174"/>
      <c r="C639" s="175"/>
      <c r="D639" s="175"/>
      <c r="E639" s="175"/>
      <c r="F639" s="122"/>
      <c r="G639" s="122"/>
      <c r="H639" s="122"/>
      <c r="I639" s="122"/>
      <c r="J639" s="173"/>
      <c r="K639" s="181"/>
      <c r="L639" s="122"/>
      <c r="M639" s="122"/>
      <c r="N639" s="122"/>
      <c r="O639" s="122"/>
      <c r="P639" s="122"/>
      <c r="Q639" s="122"/>
      <c r="R639" s="122"/>
      <c r="S639" s="122"/>
      <c r="T639" s="122"/>
      <c r="U639" s="122"/>
      <c r="V639" s="122"/>
      <c r="W639" s="122"/>
      <c r="X639" s="122"/>
      <c r="Y639" s="122"/>
    </row>
    <row r="640" spans="1:25" ht="15.75" customHeight="1" x14ac:dyDescent="0.2">
      <c r="A640" s="181"/>
      <c r="B640" s="174"/>
      <c r="C640" s="175"/>
      <c r="D640" s="175"/>
      <c r="E640" s="175"/>
      <c r="F640" s="122"/>
      <c r="G640" s="122"/>
      <c r="H640" s="122"/>
      <c r="I640" s="122"/>
      <c r="J640" s="173"/>
      <c r="K640" s="181"/>
      <c r="L640" s="122"/>
      <c r="M640" s="122"/>
      <c r="N640" s="122"/>
      <c r="O640" s="122"/>
      <c r="P640" s="122"/>
      <c r="Q640" s="122"/>
      <c r="R640" s="122"/>
      <c r="S640" s="122"/>
      <c r="T640" s="122"/>
      <c r="U640" s="122"/>
      <c r="V640" s="122"/>
      <c r="W640" s="122"/>
      <c r="X640" s="122"/>
      <c r="Y640" s="122"/>
    </row>
    <row r="641" spans="1:25" ht="15.75" customHeight="1" x14ac:dyDescent="0.2">
      <c r="A641" s="181"/>
      <c r="B641" s="174"/>
      <c r="C641" s="175"/>
      <c r="D641" s="175"/>
      <c r="E641" s="175"/>
      <c r="F641" s="122"/>
      <c r="G641" s="122"/>
      <c r="H641" s="122"/>
      <c r="I641" s="122"/>
      <c r="J641" s="173"/>
      <c r="K641" s="181"/>
      <c r="L641" s="122"/>
      <c r="M641" s="122"/>
      <c r="N641" s="122"/>
      <c r="O641" s="122"/>
      <c r="P641" s="122"/>
      <c r="Q641" s="122"/>
      <c r="R641" s="122"/>
      <c r="S641" s="122"/>
      <c r="T641" s="122"/>
      <c r="U641" s="122"/>
      <c r="V641" s="122"/>
      <c r="W641" s="122"/>
      <c r="X641" s="122"/>
      <c r="Y641" s="122"/>
    </row>
    <row r="642" spans="1:25" ht="15.75" customHeight="1" x14ac:dyDescent="0.2">
      <c r="A642" s="181"/>
      <c r="B642" s="174"/>
      <c r="C642" s="175"/>
      <c r="D642" s="175"/>
      <c r="E642" s="175"/>
      <c r="F642" s="122"/>
      <c r="G642" s="122"/>
      <c r="H642" s="122"/>
      <c r="I642" s="122"/>
      <c r="J642" s="173"/>
      <c r="K642" s="181"/>
      <c r="L642" s="122"/>
      <c r="M642" s="122"/>
      <c r="N642" s="122"/>
      <c r="O642" s="122"/>
      <c r="P642" s="122"/>
      <c r="Q642" s="122"/>
      <c r="R642" s="122"/>
      <c r="S642" s="122"/>
      <c r="T642" s="122"/>
      <c r="U642" s="122"/>
      <c r="V642" s="122"/>
      <c r="W642" s="122"/>
      <c r="X642" s="122"/>
      <c r="Y642" s="122"/>
    </row>
    <row r="643" spans="1:25" ht="15.75" customHeight="1" x14ac:dyDescent="0.2">
      <c r="A643" s="181"/>
      <c r="B643" s="174"/>
      <c r="C643" s="175"/>
      <c r="D643" s="175"/>
      <c r="E643" s="175"/>
      <c r="F643" s="122"/>
      <c r="G643" s="122"/>
      <c r="H643" s="122"/>
      <c r="I643" s="122"/>
      <c r="J643" s="173"/>
      <c r="K643" s="181"/>
      <c r="L643" s="122"/>
      <c r="M643" s="122"/>
      <c r="N643" s="122"/>
      <c r="O643" s="122"/>
      <c r="P643" s="122"/>
      <c r="Q643" s="122"/>
      <c r="R643" s="122"/>
      <c r="S643" s="122"/>
      <c r="T643" s="122"/>
      <c r="U643" s="122"/>
      <c r="V643" s="122"/>
      <c r="W643" s="122"/>
      <c r="X643" s="122"/>
      <c r="Y643" s="122"/>
    </row>
    <row r="644" spans="1:25" ht="15.75" customHeight="1" x14ac:dyDescent="0.2">
      <c r="A644" s="181"/>
      <c r="B644" s="174"/>
      <c r="C644" s="175"/>
      <c r="D644" s="175"/>
      <c r="E644" s="175"/>
      <c r="F644" s="122"/>
      <c r="G644" s="122"/>
      <c r="H644" s="122"/>
      <c r="I644" s="122"/>
      <c r="J644" s="173"/>
      <c r="K644" s="181"/>
      <c r="L644" s="122"/>
      <c r="M644" s="122"/>
      <c r="N644" s="122"/>
      <c r="O644" s="122"/>
      <c r="P644" s="122"/>
      <c r="Q644" s="122"/>
      <c r="R644" s="122"/>
      <c r="S644" s="122"/>
      <c r="T644" s="122"/>
      <c r="U644" s="122"/>
      <c r="V644" s="122"/>
      <c r="W644" s="122"/>
      <c r="X644" s="122"/>
      <c r="Y644" s="122"/>
    </row>
    <row r="645" spans="1:25" ht="15.75" customHeight="1" x14ac:dyDescent="0.2">
      <c r="A645" s="181"/>
      <c r="B645" s="174"/>
      <c r="C645" s="175"/>
      <c r="D645" s="175"/>
      <c r="E645" s="175"/>
      <c r="F645" s="122"/>
      <c r="G645" s="122"/>
      <c r="H645" s="122"/>
      <c r="I645" s="122"/>
      <c r="J645" s="173"/>
      <c r="K645" s="181"/>
      <c r="L645" s="122"/>
      <c r="M645" s="122"/>
      <c r="N645" s="122"/>
      <c r="O645" s="122"/>
      <c r="P645" s="122"/>
      <c r="Q645" s="122"/>
      <c r="R645" s="122"/>
      <c r="S645" s="122"/>
      <c r="T645" s="122"/>
      <c r="U645" s="122"/>
      <c r="V645" s="122"/>
      <c r="W645" s="122"/>
      <c r="X645" s="122"/>
      <c r="Y645" s="122"/>
    </row>
    <row r="646" spans="1:25" ht="15.75" customHeight="1" x14ac:dyDescent="0.2">
      <c r="A646" s="181"/>
      <c r="B646" s="174"/>
      <c r="C646" s="175"/>
      <c r="D646" s="175"/>
      <c r="E646" s="175"/>
      <c r="F646" s="122"/>
      <c r="G646" s="122"/>
      <c r="H646" s="122"/>
      <c r="I646" s="122"/>
      <c r="J646" s="173"/>
      <c r="K646" s="181"/>
      <c r="L646" s="122"/>
      <c r="M646" s="122"/>
      <c r="N646" s="122"/>
      <c r="O646" s="122"/>
      <c r="P646" s="122"/>
      <c r="Q646" s="122"/>
      <c r="R646" s="122"/>
      <c r="S646" s="122"/>
      <c r="T646" s="122"/>
      <c r="U646" s="122"/>
      <c r="V646" s="122"/>
      <c r="W646" s="122"/>
      <c r="X646" s="122"/>
      <c r="Y646" s="122"/>
    </row>
    <row r="647" spans="1:25" ht="15.75" customHeight="1" x14ac:dyDescent="0.2">
      <c r="A647" s="181"/>
      <c r="B647" s="174"/>
      <c r="C647" s="175"/>
      <c r="D647" s="175"/>
      <c r="E647" s="175"/>
      <c r="F647" s="122"/>
      <c r="G647" s="122"/>
      <c r="H647" s="122"/>
      <c r="I647" s="122"/>
      <c r="J647" s="173"/>
      <c r="K647" s="181"/>
      <c r="L647" s="122"/>
      <c r="M647" s="122"/>
      <c r="N647" s="122"/>
      <c r="O647" s="122"/>
      <c r="P647" s="122"/>
      <c r="Q647" s="122"/>
      <c r="R647" s="122"/>
      <c r="S647" s="122"/>
      <c r="T647" s="122"/>
      <c r="U647" s="122"/>
      <c r="V647" s="122"/>
      <c r="W647" s="122"/>
      <c r="X647" s="122"/>
      <c r="Y647" s="122"/>
    </row>
    <row r="648" spans="1:25" ht="15.75" customHeight="1" x14ac:dyDescent="0.2">
      <c r="A648" s="181"/>
      <c r="B648" s="174"/>
      <c r="C648" s="175"/>
      <c r="D648" s="175"/>
      <c r="E648" s="175"/>
      <c r="F648" s="122"/>
      <c r="G648" s="122"/>
      <c r="H648" s="122"/>
      <c r="I648" s="122"/>
      <c r="J648" s="173"/>
      <c r="K648" s="181"/>
      <c r="L648" s="122"/>
      <c r="M648" s="122"/>
      <c r="N648" s="122"/>
      <c r="O648" s="122"/>
      <c r="P648" s="122"/>
      <c r="Q648" s="122"/>
      <c r="R648" s="122"/>
      <c r="S648" s="122"/>
      <c r="T648" s="122"/>
      <c r="U648" s="122"/>
      <c r="V648" s="122"/>
      <c r="W648" s="122"/>
      <c r="X648" s="122"/>
      <c r="Y648" s="122"/>
    </row>
    <row r="649" spans="1:25" ht="15.75" customHeight="1" x14ac:dyDescent="0.2">
      <c r="A649" s="181"/>
      <c r="B649" s="174"/>
      <c r="C649" s="175"/>
      <c r="D649" s="175"/>
      <c r="E649" s="175"/>
      <c r="F649" s="122"/>
      <c r="G649" s="122"/>
      <c r="H649" s="122"/>
      <c r="I649" s="122"/>
      <c r="J649" s="173"/>
      <c r="K649" s="181"/>
      <c r="L649" s="122"/>
      <c r="M649" s="122"/>
      <c r="N649" s="122"/>
      <c r="O649" s="122"/>
      <c r="P649" s="122"/>
      <c r="Q649" s="122"/>
      <c r="R649" s="122"/>
      <c r="S649" s="122"/>
      <c r="T649" s="122"/>
      <c r="U649" s="122"/>
      <c r="V649" s="122"/>
      <c r="W649" s="122"/>
      <c r="X649" s="122"/>
      <c r="Y649" s="122"/>
    </row>
    <row r="650" spans="1:25" ht="15.75" customHeight="1" x14ac:dyDescent="0.2">
      <c r="A650" s="181"/>
      <c r="B650" s="174"/>
      <c r="C650" s="175"/>
      <c r="D650" s="175"/>
      <c r="E650" s="175"/>
      <c r="F650" s="122"/>
      <c r="G650" s="122"/>
      <c r="H650" s="122"/>
      <c r="I650" s="122"/>
      <c r="J650" s="173"/>
      <c r="K650" s="181"/>
      <c r="L650" s="122"/>
      <c r="M650" s="122"/>
      <c r="N650" s="122"/>
      <c r="O650" s="122"/>
      <c r="P650" s="122"/>
      <c r="Q650" s="122"/>
      <c r="R650" s="122"/>
      <c r="S650" s="122"/>
      <c r="T650" s="122"/>
      <c r="U650" s="122"/>
      <c r="V650" s="122"/>
      <c r="W650" s="122"/>
      <c r="X650" s="122"/>
      <c r="Y650" s="122"/>
    </row>
    <row r="651" spans="1:25" ht="15.75" customHeight="1" x14ac:dyDescent="0.2">
      <c r="A651" s="181"/>
      <c r="B651" s="174"/>
      <c r="C651" s="175"/>
      <c r="D651" s="175"/>
      <c r="E651" s="175"/>
      <c r="F651" s="122"/>
      <c r="G651" s="122"/>
      <c r="H651" s="122"/>
      <c r="I651" s="122"/>
      <c r="J651" s="173"/>
      <c r="K651" s="181"/>
      <c r="L651" s="122"/>
      <c r="M651" s="122"/>
      <c r="N651" s="122"/>
      <c r="O651" s="122"/>
      <c r="P651" s="122"/>
      <c r="Q651" s="122"/>
      <c r="R651" s="122"/>
      <c r="S651" s="122"/>
      <c r="T651" s="122"/>
      <c r="U651" s="122"/>
      <c r="V651" s="122"/>
      <c r="W651" s="122"/>
      <c r="X651" s="122"/>
      <c r="Y651" s="122"/>
    </row>
    <row r="652" spans="1:25" ht="15.75" customHeight="1" x14ac:dyDescent="0.2">
      <c r="A652" s="181"/>
      <c r="B652" s="174"/>
      <c r="C652" s="175"/>
      <c r="D652" s="175"/>
      <c r="E652" s="175"/>
      <c r="F652" s="122"/>
      <c r="G652" s="122"/>
      <c r="H652" s="122"/>
      <c r="I652" s="122"/>
      <c r="J652" s="173"/>
      <c r="K652" s="181"/>
      <c r="L652" s="122"/>
      <c r="M652" s="122"/>
      <c r="N652" s="122"/>
      <c r="O652" s="122"/>
      <c r="P652" s="122"/>
      <c r="Q652" s="122"/>
      <c r="R652" s="122"/>
      <c r="S652" s="122"/>
      <c r="T652" s="122"/>
      <c r="U652" s="122"/>
      <c r="V652" s="122"/>
      <c r="W652" s="122"/>
      <c r="X652" s="122"/>
      <c r="Y652" s="122"/>
    </row>
    <row r="653" spans="1:25" ht="15.75" customHeight="1" x14ac:dyDescent="0.2">
      <c r="A653" s="181"/>
      <c r="B653" s="174"/>
      <c r="C653" s="175"/>
      <c r="D653" s="175"/>
      <c r="E653" s="175"/>
      <c r="F653" s="122"/>
      <c r="G653" s="122"/>
      <c r="H653" s="122"/>
      <c r="I653" s="122"/>
      <c r="J653" s="173"/>
      <c r="K653" s="181"/>
      <c r="L653" s="122"/>
      <c r="M653" s="122"/>
      <c r="N653" s="122"/>
      <c r="O653" s="122"/>
      <c r="P653" s="122"/>
      <c r="Q653" s="122"/>
      <c r="R653" s="122"/>
      <c r="S653" s="122"/>
      <c r="T653" s="122"/>
      <c r="U653" s="122"/>
      <c r="V653" s="122"/>
      <c r="W653" s="122"/>
      <c r="X653" s="122"/>
      <c r="Y653" s="122"/>
    </row>
    <row r="654" spans="1:25" ht="15.75" customHeight="1" x14ac:dyDescent="0.2">
      <c r="A654" s="181"/>
      <c r="B654" s="174"/>
      <c r="C654" s="175"/>
      <c r="D654" s="175"/>
      <c r="E654" s="175"/>
      <c r="F654" s="122"/>
      <c r="G654" s="122"/>
      <c r="H654" s="122"/>
      <c r="I654" s="122"/>
      <c r="J654" s="173"/>
      <c r="K654" s="181"/>
      <c r="L654" s="122"/>
      <c r="M654" s="122"/>
      <c r="N654" s="122"/>
      <c r="O654" s="122"/>
      <c r="P654" s="122"/>
      <c r="Q654" s="122"/>
      <c r="R654" s="122"/>
      <c r="S654" s="122"/>
      <c r="T654" s="122"/>
      <c r="U654" s="122"/>
      <c r="V654" s="122"/>
      <c r="W654" s="122"/>
      <c r="X654" s="122"/>
      <c r="Y654" s="122"/>
    </row>
    <row r="655" spans="1:25" ht="15.75" customHeight="1" x14ac:dyDescent="0.2">
      <c r="A655" s="181"/>
      <c r="B655" s="174"/>
      <c r="C655" s="175"/>
      <c r="D655" s="175"/>
      <c r="E655" s="175"/>
      <c r="F655" s="122"/>
      <c r="G655" s="122"/>
      <c r="H655" s="122"/>
      <c r="I655" s="122"/>
      <c r="J655" s="173"/>
      <c r="K655" s="181"/>
      <c r="L655" s="122"/>
      <c r="M655" s="122"/>
      <c r="N655" s="122"/>
      <c r="O655" s="122"/>
      <c r="P655" s="122"/>
      <c r="Q655" s="122"/>
      <c r="R655" s="122"/>
      <c r="S655" s="122"/>
      <c r="T655" s="122"/>
      <c r="U655" s="122"/>
      <c r="V655" s="122"/>
      <c r="W655" s="122"/>
      <c r="X655" s="122"/>
      <c r="Y655" s="122"/>
    </row>
    <row r="656" spans="1:25" ht="15.75" customHeight="1" x14ac:dyDescent="0.2">
      <c r="A656" s="181"/>
      <c r="B656" s="174"/>
      <c r="C656" s="175"/>
      <c r="D656" s="175"/>
      <c r="E656" s="175"/>
      <c r="F656" s="122"/>
      <c r="G656" s="122"/>
      <c r="H656" s="122"/>
      <c r="I656" s="122"/>
      <c r="J656" s="173"/>
      <c r="K656" s="181"/>
      <c r="L656" s="122"/>
      <c r="M656" s="122"/>
      <c r="N656" s="122"/>
      <c r="O656" s="122"/>
      <c r="P656" s="122"/>
      <c r="Q656" s="122"/>
      <c r="R656" s="122"/>
      <c r="S656" s="122"/>
      <c r="T656" s="122"/>
      <c r="U656" s="122"/>
      <c r="V656" s="122"/>
      <c r="W656" s="122"/>
      <c r="X656" s="122"/>
      <c r="Y656" s="122"/>
    </row>
    <row r="657" spans="1:25" ht="15.75" customHeight="1" x14ac:dyDescent="0.2">
      <c r="A657" s="181"/>
      <c r="B657" s="174"/>
      <c r="C657" s="175"/>
      <c r="D657" s="175"/>
      <c r="E657" s="175"/>
      <c r="F657" s="122"/>
      <c r="G657" s="122"/>
      <c r="H657" s="122"/>
      <c r="I657" s="122"/>
      <c r="J657" s="173"/>
      <c r="K657" s="181"/>
      <c r="L657" s="122"/>
      <c r="M657" s="122"/>
      <c r="N657" s="122"/>
      <c r="O657" s="122"/>
      <c r="P657" s="122"/>
      <c r="Q657" s="122"/>
      <c r="R657" s="122"/>
      <c r="S657" s="122"/>
      <c r="T657" s="122"/>
      <c r="U657" s="122"/>
      <c r="V657" s="122"/>
      <c r="W657" s="122"/>
      <c r="X657" s="122"/>
      <c r="Y657" s="122"/>
    </row>
    <row r="658" spans="1:25" ht="15.75" customHeight="1" x14ac:dyDescent="0.2">
      <c r="A658" s="181"/>
      <c r="B658" s="174"/>
      <c r="C658" s="175"/>
      <c r="D658" s="175"/>
      <c r="E658" s="175"/>
      <c r="F658" s="122"/>
      <c r="G658" s="122"/>
      <c r="H658" s="122"/>
      <c r="I658" s="122"/>
      <c r="J658" s="173"/>
      <c r="K658" s="181"/>
      <c r="L658" s="122"/>
      <c r="M658" s="122"/>
      <c r="N658" s="122"/>
      <c r="O658" s="122"/>
      <c r="P658" s="122"/>
      <c r="Q658" s="122"/>
      <c r="R658" s="122"/>
      <c r="S658" s="122"/>
      <c r="T658" s="122"/>
      <c r="U658" s="122"/>
      <c r="V658" s="122"/>
      <c r="W658" s="122"/>
      <c r="X658" s="122"/>
      <c r="Y658" s="122"/>
    </row>
    <row r="659" spans="1:25" ht="15.75" customHeight="1" x14ac:dyDescent="0.2">
      <c r="A659" s="181"/>
      <c r="B659" s="174"/>
      <c r="C659" s="175"/>
      <c r="D659" s="175"/>
      <c r="E659" s="175"/>
      <c r="F659" s="122"/>
      <c r="G659" s="122"/>
      <c r="H659" s="122"/>
      <c r="I659" s="122"/>
      <c r="J659" s="173"/>
      <c r="K659" s="181"/>
      <c r="L659" s="122"/>
      <c r="M659" s="122"/>
      <c r="N659" s="122"/>
      <c r="O659" s="122"/>
      <c r="P659" s="122"/>
      <c r="Q659" s="122"/>
      <c r="R659" s="122"/>
      <c r="S659" s="122"/>
      <c r="T659" s="122"/>
      <c r="U659" s="122"/>
      <c r="V659" s="122"/>
      <c r="W659" s="122"/>
      <c r="X659" s="122"/>
      <c r="Y659" s="122"/>
    </row>
    <row r="660" spans="1:25" ht="15.75" customHeight="1" x14ac:dyDescent="0.2">
      <c r="A660" s="181"/>
      <c r="B660" s="174"/>
      <c r="C660" s="175"/>
      <c r="D660" s="175"/>
      <c r="E660" s="175"/>
      <c r="F660" s="122"/>
      <c r="G660" s="122"/>
      <c r="H660" s="122"/>
      <c r="I660" s="122"/>
      <c r="J660" s="173"/>
      <c r="K660" s="181"/>
      <c r="L660" s="122"/>
      <c r="M660" s="122"/>
      <c r="N660" s="122"/>
      <c r="O660" s="122"/>
      <c r="P660" s="122"/>
      <c r="Q660" s="122"/>
      <c r="R660" s="122"/>
      <c r="S660" s="122"/>
      <c r="T660" s="122"/>
      <c r="U660" s="122"/>
      <c r="V660" s="122"/>
      <c r="W660" s="122"/>
      <c r="X660" s="122"/>
      <c r="Y660" s="122"/>
    </row>
    <row r="661" spans="1:25" ht="15.75" customHeight="1" x14ac:dyDescent="0.2">
      <c r="A661" s="181"/>
      <c r="B661" s="174"/>
      <c r="C661" s="175"/>
      <c r="D661" s="175"/>
      <c r="E661" s="175"/>
      <c r="F661" s="122"/>
      <c r="G661" s="122"/>
      <c r="H661" s="122"/>
      <c r="I661" s="122"/>
      <c r="J661" s="173"/>
      <c r="K661" s="181"/>
      <c r="L661" s="122"/>
      <c r="M661" s="122"/>
      <c r="N661" s="122"/>
      <c r="O661" s="122"/>
      <c r="P661" s="122"/>
      <c r="Q661" s="122"/>
      <c r="R661" s="122"/>
      <c r="S661" s="122"/>
      <c r="T661" s="122"/>
      <c r="U661" s="122"/>
      <c r="V661" s="122"/>
      <c r="W661" s="122"/>
      <c r="X661" s="122"/>
      <c r="Y661" s="122"/>
    </row>
    <row r="662" spans="1:25" ht="15.75" customHeight="1" x14ac:dyDescent="0.2">
      <c r="A662" s="181"/>
      <c r="B662" s="174"/>
      <c r="C662" s="175"/>
      <c r="D662" s="175"/>
      <c r="E662" s="175"/>
      <c r="F662" s="122"/>
      <c r="G662" s="122"/>
      <c r="H662" s="122"/>
      <c r="I662" s="122"/>
      <c r="J662" s="173"/>
      <c r="K662" s="181"/>
      <c r="L662" s="122"/>
      <c r="M662" s="122"/>
      <c r="N662" s="122"/>
      <c r="O662" s="122"/>
      <c r="P662" s="122"/>
      <c r="Q662" s="122"/>
      <c r="R662" s="122"/>
      <c r="S662" s="122"/>
      <c r="T662" s="122"/>
      <c r="U662" s="122"/>
      <c r="V662" s="122"/>
      <c r="W662" s="122"/>
      <c r="X662" s="122"/>
      <c r="Y662" s="122"/>
    </row>
    <row r="663" spans="1:25" ht="15.75" customHeight="1" x14ac:dyDescent="0.2">
      <c r="A663" s="181"/>
      <c r="B663" s="174"/>
      <c r="C663" s="175"/>
      <c r="D663" s="175"/>
      <c r="E663" s="175"/>
      <c r="F663" s="122"/>
      <c r="G663" s="122"/>
      <c r="H663" s="122"/>
      <c r="I663" s="122"/>
      <c r="J663" s="173"/>
      <c r="K663" s="181"/>
      <c r="L663" s="122"/>
      <c r="M663" s="122"/>
      <c r="N663" s="122"/>
      <c r="O663" s="122"/>
      <c r="P663" s="122"/>
      <c r="Q663" s="122"/>
      <c r="R663" s="122"/>
      <c r="S663" s="122"/>
      <c r="T663" s="122"/>
      <c r="U663" s="122"/>
      <c r="V663" s="122"/>
      <c r="W663" s="122"/>
      <c r="X663" s="122"/>
      <c r="Y663" s="122"/>
    </row>
    <row r="664" spans="1:25" ht="15.75" customHeight="1" x14ac:dyDescent="0.2">
      <c r="A664" s="181"/>
      <c r="B664" s="174"/>
      <c r="C664" s="175"/>
      <c r="D664" s="175"/>
      <c r="E664" s="175"/>
      <c r="F664" s="122"/>
      <c r="G664" s="122"/>
      <c r="H664" s="122"/>
      <c r="I664" s="122"/>
      <c r="J664" s="173"/>
      <c r="K664" s="181"/>
      <c r="L664" s="122"/>
      <c r="M664" s="122"/>
      <c r="N664" s="122"/>
      <c r="O664" s="122"/>
      <c r="P664" s="122"/>
      <c r="Q664" s="122"/>
      <c r="R664" s="122"/>
      <c r="S664" s="122"/>
      <c r="T664" s="122"/>
      <c r="U664" s="122"/>
      <c r="V664" s="122"/>
      <c r="W664" s="122"/>
      <c r="X664" s="122"/>
      <c r="Y664" s="122"/>
    </row>
    <row r="665" spans="1:25" ht="15.75" customHeight="1" x14ac:dyDescent="0.2">
      <c r="A665" s="181"/>
      <c r="B665" s="174"/>
      <c r="C665" s="175"/>
      <c r="D665" s="175"/>
      <c r="E665" s="175"/>
      <c r="F665" s="122"/>
      <c r="G665" s="122"/>
      <c r="H665" s="122"/>
      <c r="I665" s="122"/>
      <c r="J665" s="173"/>
      <c r="K665" s="181"/>
      <c r="L665" s="122"/>
      <c r="M665" s="122"/>
      <c r="N665" s="122"/>
      <c r="O665" s="122"/>
      <c r="P665" s="122"/>
      <c r="Q665" s="122"/>
      <c r="R665" s="122"/>
      <c r="S665" s="122"/>
      <c r="T665" s="122"/>
      <c r="U665" s="122"/>
      <c r="V665" s="122"/>
      <c r="W665" s="122"/>
      <c r="X665" s="122"/>
      <c r="Y665" s="122"/>
    </row>
    <row r="666" spans="1:25" ht="15.75" customHeight="1" x14ac:dyDescent="0.2">
      <c r="A666" s="181"/>
      <c r="B666" s="174"/>
      <c r="C666" s="175"/>
      <c r="D666" s="175"/>
      <c r="E666" s="175"/>
      <c r="F666" s="122"/>
      <c r="G666" s="122"/>
      <c r="H666" s="122"/>
      <c r="I666" s="122"/>
      <c r="J666" s="173"/>
      <c r="K666" s="181"/>
      <c r="L666" s="122"/>
      <c r="M666" s="122"/>
      <c r="N666" s="122"/>
      <c r="O666" s="122"/>
      <c r="P666" s="122"/>
      <c r="Q666" s="122"/>
      <c r="R666" s="122"/>
      <c r="S666" s="122"/>
      <c r="T666" s="122"/>
      <c r="U666" s="122"/>
      <c r="V666" s="122"/>
      <c r="W666" s="122"/>
      <c r="X666" s="122"/>
      <c r="Y666" s="122"/>
    </row>
    <row r="667" spans="1:25" ht="15.75" customHeight="1" x14ac:dyDescent="0.2">
      <c r="A667" s="181"/>
      <c r="B667" s="174"/>
      <c r="C667" s="175"/>
      <c r="D667" s="175"/>
      <c r="E667" s="175"/>
      <c r="F667" s="122"/>
      <c r="G667" s="122"/>
      <c r="H667" s="122"/>
      <c r="I667" s="122"/>
      <c r="J667" s="173"/>
      <c r="K667" s="181"/>
      <c r="L667" s="122"/>
      <c r="M667" s="122"/>
      <c r="N667" s="122"/>
      <c r="O667" s="122"/>
      <c r="P667" s="122"/>
      <c r="Q667" s="122"/>
      <c r="R667" s="122"/>
      <c r="S667" s="122"/>
      <c r="T667" s="122"/>
      <c r="U667" s="122"/>
      <c r="V667" s="122"/>
      <c r="W667" s="122"/>
      <c r="X667" s="122"/>
      <c r="Y667" s="122"/>
    </row>
    <row r="668" spans="1:25" ht="15.75" customHeight="1" x14ac:dyDescent="0.2">
      <c r="A668" s="181"/>
      <c r="B668" s="174"/>
      <c r="C668" s="175"/>
      <c r="D668" s="175"/>
      <c r="E668" s="175"/>
      <c r="F668" s="122"/>
      <c r="G668" s="122"/>
      <c r="H668" s="122"/>
      <c r="I668" s="122"/>
      <c r="J668" s="173"/>
      <c r="K668" s="181"/>
      <c r="L668" s="122"/>
      <c r="M668" s="122"/>
      <c r="N668" s="122"/>
      <c r="O668" s="122"/>
      <c r="P668" s="122"/>
      <c r="Q668" s="122"/>
      <c r="R668" s="122"/>
      <c r="S668" s="122"/>
      <c r="T668" s="122"/>
      <c r="U668" s="122"/>
      <c r="V668" s="122"/>
      <c r="W668" s="122"/>
      <c r="X668" s="122"/>
      <c r="Y668" s="122"/>
    </row>
    <row r="669" spans="1:25" ht="15.75" customHeight="1" x14ac:dyDescent="0.2">
      <c r="A669" s="181"/>
      <c r="B669" s="174"/>
      <c r="C669" s="175"/>
      <c r="D669" s="175"/>
      <c r="E669" s="175"/>
      <c r="F669" s="122"/>
      <c r="G669" s="122"/>
      <c r="H669" s="122"/>
      <c r="I669" s="122"/>
      <c r="J669" s="173"/>
      <c r="K669" s="181"/>
      <c r="L669" s="122"/>
      <c r="M669" s="122"/>
      <c r="N669" s="122"/>
      <c r="O669" s="122"/>
      <c r="P669" s="122"/>
      <c r="Q669" s="122"/>
      <c r="R669" s="122"/>
      <c r="S669" s="122"/>
      <c r="T669" s="122"/>
      <c r="U669" s="122"/>
      <c r="V669" s="122"/>
      <c r="W669" s="122"/>
      <c r="X669" s="122"/>
      <c r="Y669" s="122"/>
    </row>
    <row r="670" spans="1:25" ht="15.75" customHeight="1" x14ac:dyDescent="0.2">
      <c r="A670" s="181"/>
      <c r="B670" s="174"/>
      <c r="C670" s="175"/>
      <c r="D670" s="175"/>
      <c r="E670" s="175"/>
      <c r="F670" s="122"/>
      <c r="G670" s="122"/>
      <c r="H670" s="122"/>
      <c r="I670" s="122"/>
      <c r="J670" s="173"/>
      <c r="K670" s="181"/>
      <c r="L670" s="122"/>
      <c r="M670" s="122"/>
      <c r="N670" s="122"/>
      <c r="O670" s="122"/>
      <c r="P670" s="122"/>
      <c r="Q670" s="122"/>
      <c r="R670" s="122"/>
      <c r="S670" s="122"/>
      <c r="T670" s="122"/>
      <c r="U670" s="122"/>
      <c r="V670" s="122"/>
      <c r="W670" s="122"/>
      <c r="X670" s="122"/>
      <c r="Y670" s="122"/>
    </row>
    <row r="671" spans="1:25" ht="15.75" customHeight="1" x14ac:dyDescent="0.2">
      <c r="A671" s="181"/>
      <c r="B671" s="174"/>
      <c r="C671" s="175"/>
      <c r="D671" s="175"/>
      <c r="E671" s="175"/>
      <c r="F671" s="122"/>
      <c r="G671" s="122"/>
      <c r="H671" s="122"/>
      <c r="I671" s="122"/>
      <c r="J671" s="173"/>
      <c r="K671" s="181"/>
      <c r="L671" s="122"/>
      <c r="M671" s="122"/>
      <c r="N671" s="122"/>
      <c r="O671" s="122"/>
      <c r="P671" s="122"/>
      <c r="Q671" s="122"/>
      <c r="R671" s="122"/>
      <c r="S671" s="122"/>
      <c r="T671" s="122"/>
      <c r="U671" s="122"/>
      <c r="V671" s="122"/>
      <c r="W671" s="122"/>
      <c r="X671" s="122"/>
      <c r="Y671" s="122"/>
    </row>
    <row r="672" spans="1:25" ht="15.75" customHeight="1" x14ac:dyDescent="0.2">
      <c r="A672" s="181"/>
      <c r="B672" s="174"/>
      <c r="C672" s="175"/>
      <c r="D672" s="175"/>
      <c r="E672" s="175"/>
      <c r="F672" s="122"/>
      <c r="G672" s="122"/>
      <c r="H672" s="122"/>
      <c r="I672" s="122"/>
      <c r="J672" s="173"/>
      <c r="K672" s="181"/>
      <c r="L672" s="122"/>
      <c r="M672" s="122"/>
      <c r="N672" s="122"/>
      <c r="O672" s="122"/>
      <c r="P672" s="122"/>
      <c r="Q672" s="122"/>
      <c r="R672" s="122"/>
      <c r="S672" s="122"/>
      <c r="T672" s="122"/>
      <c r="U672" s="122"/>
      <c r="V672" s="122"/>
      <c r="W672" s="122"/>
      <c r="X672" s="122"/>
      <c r="Y672" s="122"/>
    </row>
    <row r="673" spans="1:25" ht="15.75" customHeight="1" x14ac:dyDescent="0.2">
      <c r="A673" s="181"/>
      <c r="B673" s="174"/>
      <c r="C673" s="175"/>
      <c r="D673" s="175"/>
      <c r="E673" s="175"/>
      <c r="F673" s="122"/>
      <c r="G673" s="122"/>
      <c r="H673" s="122"/>
      <c r="I673" s="122"/>
      <c r="J673" s="173"/>
      <c r="K673" s="181"/>
      <c r="L673" s="122"/>
      <c r="M673" s="122"/>
      <c r="N673" s="122"/>
      <c r="O673" s="122"/>
      <c r="P673" s="122"/>
      <c r="Q673" s="122"/>
      <c r="R673" s="122"/>
      <c r="S673" s="122"/>
      <c r="T673" s="122"/>
      <c r="U673" s="122"/>
      <c r="V673" s="122"/>
      <c r="W673" s="122"/>
      <c r="X673" s="122"/>
      <c r="Y673" s="122"/>
    </row>
    <row r="674" spans="1:25" ht="15.75" customHeight="1" x14ac:dyDescent="0.2">
      <c r="A674" s="181"/>
      <c r="B674" s="174"/>
      <c r="C674" s="175"/>
      <c r="D674" s="175"/>
      <c r="E674" s="175"/>
      <c r="F674" s="122"/>
      <c r="G674" s="122"/>
      <c r="H674" s="122"/>
      <c r="I674" s="122"/>
      <c r="J674" s="173"/>
      <c r="K674" s="181"/>
      <c r="L674" s="122"/>
      <c r="M674" s="122"/>
      <c r="N674" s="122"/>
      <c r="O674" s="122"/>
      <c r="P674" s="122"/>
      <c r="Q674" s="122"/>
      <c r="R674" s="122"/>
      <c r="S674" s="122"/>
      <c r="T674" s="122"/>
      <c r="U674" s="122"/>
      <c r="V674" s="122"/>
      <c r="W674" s="122"/>
      <c r="X674" s="122"/>
      <c r="Y674" s="122"/>
    </row>
    <row r="675" spans="1:25" ht="15.75" customHeight="1" x14ac:dyDescent="0.2">
      <c r="A675" s="181"/>
      <c r="B675" s="174"/>
      <c r="C675" s="175"/>
      <c r="D675" s="175"/>
      <c r="E675" s="175"/>
      <c r="F675" s="122"/>
      <c r="G675" s="122"/>
      <c r="H675" s="122"/>
      <c r="I675" s="122"/>
      <c r="J675" s="173"/>
      <c r="K675" s="181"/>
      <c r="L675" s="122"/>
      <c r="M675" s="122"/>
      <c r="N675" s="122"/>
      <c r="O675" s="122"/>
      <c r="P675" s="122"/>
      <c r="Q675" s="122"/>
      <c r="R675" s="122"/>
      <c r="S675" s="122"/>
      <c r="T675" s="122"/>
      <c r="U675" s="122"/>
      <c r="V675" s="122"/>
      <c r="W675" s="122"/>
      <c r="X675" s="122"/>
      <c r="Y675" s="122"/>
    </row>
    <row r="676" spans="1:25" ht="15.75" customHeight="1" x14ac:dyDescent="0.2">
      <c r="A676" s="181"/>
      <c r="B676" s="174"/>
      <c r="C676" s="175"/>
      <c r="D676" s="175"/>
      <c r="E676" s="175"/>
      <c r="F676" s="122"/>
      <c r="G676" s="122"/>
      <c r="H676" s="122"/>
      <c r="I676" s="122"/>
      <c r="J676" s="173"/>
      <c r="K676" s="181"/>
      <c r="L676" s="122"/>
      <c r="M676" s="122"/>
      <c r="N676" s="122"/>
      <c r="O676" s="122"/>
      <c r="P676" s="122"/>
      <c r="Q676" s="122"/>
      <c r="R676" s="122"/>
      <c r="S676" s="122"/>
      <c r="T676" s="122"/>
      <c r="U676" s="122"/>
      <c r="V676" s="122"/>
      <c r="W676" s="122"/>
      <c r="X676" s="122"/>
      <c r="Y676" s="122"/>
    </row>
    <row r="677" spans="1:25" ht="15.75" customHeight="1" x14ac:dyDescent="0.2">
      <c r="A677" s="181"/>
      <c r="B677" s="174"/>
      <c r="C677" s="175"/>
      <c r="D677" s="175"/>
      <c r="E677" s="175"/>
      <c r="F677" s="122"/>
      <c r="G677" s="122"/>
      <c r="H677" s="122"/>
      <c r="I677" s="122"/>
      <c r="J677" s="173"/>
      <c r="K677" s="181"/>
      <c r="L677" s="122"/>
      <c r="M677" s="122"/>
      <c r="N677" s="122"/>
      <c r="O677" s="122"/>
      <c r="P677" s="122"/>
      <c r="Q677" s="122"/>
      <c r="R677" s="122"/>
      <c r="S677" s="122"/>
      <c r="T677" s="122"/>
      <c r="U677" s="122"/>
      <c r="V677" s="122"/>
      <c r="W677" s="122"/>
      <c r="X677" s="122"/>
      <c r="Y677" s="122"/>
    </row>
    <row r="678" spans="1:25" ht="15.75" customHeight="1" x14ac:dyDescent="0.2">
      <c r="A678" s="181"/>
      <c r="B678" s="174"/>
      <c r="C678" s="175"/>
      <c r="D678" s="175"/>
      <c r="E678" s="175"/>
      <c r="F678" s="122"/>
      <c r="G678" s="122"/>
      <c r="H678" s="122"/>
      <c r="I678" s="122"/>
      <c r="J678" s="173"/>
      <c r="K678" s="181"/>
      <c r="L678" s="122"/>
      <c r="M678" s="122"/>
      <c r="N678" s="122"/>
      <c r="O678" s="122"/>
      <c r="P678" s="122"/>
      <c r="Q678" s="122"/>
      <c r="R678" s="122"/>
      <c r="S678" s="122"/>
      <c r="T678" s="122"/>
      <c r="U678" s="122"/>
      <c r="V678" s="122"/>
      <c r="W678" s="122"/>
      <c r="X678" s="122"/>
      <c r="Y678" s="122"/>
    </row>
    <row r="679" spans="1:25" ht="15.75" customHeight="1" x14ac:dyDescent="0.2">
      <c r="A679" s="181"/>
      <c r="B679" s="174"/>
      <c r="C679" s="175"/>
      <c r="D679" s="175"/>
      <c r="E679" s="175"/>
      <c r="F679" s="122"/>
      <c r="G679" s="122"/>
      <c r="H679" s="122"/>
      <c r="I679" s="122"/>
      <c r="J679" s="173"/>
      <c r="K679" s="181"/>
      <c r="L679" s="122"/>
      <c r="M679" s="122"/>
      <c r="N679" s="122"/>
      <c r="O679" s="122"/>
      <c r="P679" s="122"/>
      <c r="Q679" s="122"/>
      <c r="R679" s="122"/>
      <c r="S679" s="122"/>
      <c r="T679" s="122"/>
      <c r="U679" s="122"/>
      <c r="V679" s="122"/>
      <c r="W679" s="122"/>
      <c r="X679" s="122"/>
      <c r="Y679" s="122"/>
    </row>
    <row r="680" spans="1:25" ht="15.75" customHeight="1" x14ac:dyDescent="0.2">
      <c r="A680" s="181"/>
      <c r="B680" s="174"/>
      <c r="C680" s="175"/>
      <c r="D680" s="175"/>
      <c r="E680" s="175"/>
      <c r="F680" s="122"/>
      <c r="G680" s="122"/>
      <c r="H680" s="122"/>
      <c r="I680" s="122"/>
      <c r="J680" s="173"/>
      <c r="K680" s="181"/>
      <c r="L680" s="122"/>
      <c r="M680" s="122"/>
      <c r="N680" s="122"/>
      <c r="O680" s="122"/>
      <c r="P680" s="122"/>
      <c r="Q680" s="122"/>
      <c r="R680" s="122"/>
      <c r="S680" s="122"/>
      <c r="T680" s="122"/>
      <c r="U680" s="122"/>
      <c r="V680" s="122"/>
      <c r="W680" s="122"/>
      <c r="X680" s="122"/>
      <c r="Y680" s="122"/>
    </row>
    <row r="681" spans="1:25" ht="15.75" customHeight="1" x14ac:dyDescent="0.2">
      <c r="A681" s="181"/>
      <c r="B681" s="174"/>
      <c r="C681" s="175"/>
      <c r="D681" s="175"/>
      <c r="E681" s="175"/>
      <c r="F681" s="122"/>
      <c r="G681" s="122"/>
      <c r="H681" s="122"/>
      <c r="I681" s="122"/>
      <c r="J681" s="173"/>
      <c r="K681" s="181"/>
      <c r="L681" s="122"/>
      <c r="M681" s="122"/>
      <c r="N681" s="122"/>
      <c r="O681" s="122"/>
      <c r="P681" s="122"/>
      <c r="Q681" s="122"/>
      <c r="R681" s="122"/>
      <c r="S681" s="122"/>
      <c r="T681" s="122"/>
      <c r="U681" s="122"/>
      <c r="V681" s="122"/>
      <c r="W681" s="122"/>
      <c r="X681" s="122"/>
      <c r="Y681" s="122"/>
    </row>
    <row r="682" spans="1:25" ht="15.75" customHeight="1" x14ac:dyDescent="0.2">
      <c r="A682" s="181"/>
      <c r="B682" s="174"/>
      <c r="C682" s="175"/>
      <c r="D682" s="175"/>
      <c r="E682" s="175"/>
      <c r="F682" s="122"/>
      <c r="G682" s="122"/>
      <c r="H682" s="122"/>
      <c r="I682" s="122"/>
      <c r="J682" s="173"/>
      <c r="K682" s="181"/>
      <c r="L682" s="122"/>
      <c r="M682" s="122"/>
      <c r="N682" s="122"/>
      <c r="O682" s="122"/>
      <c r="P682" s="122"/>
      <c r="Q682" s="122"/>
      <c r="R682" s="122"/>
      <c r="S682" s="122"/>
      <c r="T682" s="122"/>
      <c r="U682" s="122"/>
      <c r="V682" s="122"/>
      <c r="W682" s="122"/>
      <c r="X682" s="122"/>
      <c r="Y682" s="122"/>
    </row>
    <row r="683" spans="1:25" ht="15.75" customHeight="1" x14ac:dyDescent="0.2">
      <c r="A683" s="181"/>
      <c r="B683" s="174"/>
      <c r="C683" s="175"/>
      <c r="D683" s="175"/>
      <c r="E683" s="175"/>
      <c r="F683" s="122"/>
      <c r="G683" s="122"/>
      <c r="H683" s="122"/>
      <c r="I683" s="122"/>
      <c r="J683" s="173"/>
      <c r="K683" s="181"/>
      <c r="L683" s="122"/>
      <c r="M683" s="122"/>
      <c r="N683" s="122"/>
      <c r="O683" s="122"/>
      <c r="P683" s="122"/>
      <c r="Q683" s="122"/>
      <c r="R683" s="122"/>
      <c r="S683" s="122"/>
      <c r="T683" s="122"/>
      <c r="U683" s="122"/>
      <c r="V683" s="122"/>
      <c r="W683" s="122"/>
      <c r="X683" s="122"/>
      <c r="Y683" s="122"/>
    </row>
    <row r="684" spans="1:25" ht="15.75" customHeight="1" x14ac:dyDescent="0.2">
      <c r="A684" s="181"/>
      <c r="B684" s="174"/>
      <c r="C684" s="175"/>
      <c r="D684" s="175"/>
      <c r="E684" s="175"/>
      <c r="F684" s="122"/>
      <c r="G684" s="122"/>
      <c r="H684" s="122"/>
      <c r="I684" s="122"/>
      <c r="J684" s="173"/>
      <c r="K684" s="181"/>
      <c r="L684" s="122"/>
      <c r="M684" s="122"/>
      <c r="N684" s="122"/>
      <c r="O684" s="122"/>
      <c r="P684" s="122"/>
      <c r="Q684" s="122"/>
      <c r="R684" s="122"/>
      <c r="S684" s="122"/>
      <c r="T684" s="122"/>
      <c r="U684" s="122"/>
      <c r="V684" s="122"/>
      <c r="W684" s="122"/>
      <c r="X684" s="122"/>
      <c r="Y684" s="122"/>
    </row>
    <row r="685" spans="1:25" ht="15.75" customHeight="1" x14ac:dyDescent="0.2">
      <c r="A685" s="181"/>
      <c r="B685" s="174"/>
      <c r="C685" s="175"/>
      <c r="D685" s="175"/>
      <c r="E685" s="175"/>
      <c r="F685" s="122"/>
      <c r="G685" s="122"/>
      <c r="H685" s="122"/>
      <c r="I685" s="122"/>
      <c r="J685" s="173"/>
      <c r="K685" s="181"/>
      <c r="L685" s="122"/>
      <c r="M685" s="122"/>
      <c r="N685" s="122"/>
      <c r="O685" s="122"/>
      <c r="P685" s="122"/>
      <c r="Q685" s="122"/>
      <c r="R685" s="122"/>
      <c r="S685" s="122"/>
      <c r="T685" s="122"/>
      <c r="U685" s="122"/>
      <c r="V685" s="122"/>
      <c r="W685" s="122"/>
      <c r="X685" s="122"/>
      <c r="Y685" s="122"/>
    </row>
    <row r="686" spans="1:25" ht="15.75" customHeight="1" x14ac:dyDescent="0.2">
      <c r="A686" s="181"/>
      <c r="B686" s="174"/>
      <c r="C686" s="175"/>
      <c r="D686" s="175"/>
      <c r="E686" s="175"/>
      <c r="F686" s="122"/>
      <c r="G686" s="122"/>
      <c r="H686" s="122"/>
      <c r="I686" s="122"/>
      <c r="J686" s="173"/>
      <c r="K686" s="181"/>
      <c r="L686" s="122"/>
      <c r="M686" s="122"/>
      <c r="N686" s="122"/>
      <c r="O686" s="122"/>
      <c r="P686" s="122"/>
      <c r="Q686" s="122"/>
      <c r="R686" s="122"/>
      <c r="S686" s="122"/>
      <c r="T686" s="122"/>
      <c r="U686" s="122"/>
      <c r="V686" s="122"/>
      <c r="W686" s="122"/>
      <c r="X686" s="122"/>
      <c r="Y686" s="122"/>
    </row>
    <row r="687" spans="1:25" ht="15.75" customHeight="1" x14ac:dyDescent="0.2">
      <c r="A687" s="181"/>
      <c r="B687" s="174"/>
      <c r="C687" s="175"/>
      <c r="D687" s="175"/>
      <c r="E687" s="175"/>
      <c r="F687" s="122"/>
      <c r="G687" s="122"/>
      <c r="H687" s="122"/>
      <c r="I687" s="122"/>
      <c r="J687" s="173"/>
      <c r="K687" s="181"/>
      <c r="L687" s="122"/>
      <c r="M687" s="122"/>
      <c r="N687" s="122"/>
      <c r="O687" s="122"/>
      <c r="P687" s="122"/>
      <c r="Q687" s="122"/>
      <c r="R687" s="122"/>
      <c r="S687" s="122"/>
      <c r="T687" s="122"/>
      <c r="U687" s="122"/>
      <c r="V687" s="122"/>
      <c r="W687" s="122"/>
      <c r="X687" s="122"/>
      <c r="Y687" s="122"/>
    </row>
    <row r="688" spans="1:25" ht="15.75" customHeight="1" x14ac:dyDescent="0.2">
      <c r="A688" s="181"/>
      <c r="B688" s="174"/>
      <c r="C688" s="175"/>
      <c r="D688" s="175"/>
      <c r="E688" s="175"/>
      <c r="F688" s="122"/>
      <c r="G688" s="122"/>
      <c r="H688" s="122"/>
      <c r="I688" s="122"/>
      <c r="J688" s="173"/>
      <c r="K688" s="181"/>
      <c r="L688" s="122"/>
      <c r="M688" s="122"/>
      <c r="N688" s="122"/>
      <c r="O688" s="122"/>
      <c r="P688" s="122"/>
      <c r="Q688" s="122"/>
      <c r="R688" s="122"/>
      <c r="S688" s="122"/>
      <c r="T688" s="122"/>
      <c r="U688" s="122"/>
      <c r="V688" s="122"/>
      <c r="W688" s="122"/>
      <c r="X688" s="122"/>
      <c r="Y688" s="122"/>
    </row>
    <row r="689" spans="1:25" ht="15.75" customHeight="1" x14ac:dyDescent="0.2">
      <c r="A689" s="181"/>
      <c r="B689" s="174"/>
      <c r="C689" s="175"/>
      <c r="D689" s="175"/>
      <c r="E689" s="175"/>
      <c r="F689" s="122"/>
      <c r="G689" s="122"/>
      <c r="H689" s="122"/>
      <c r="I689" s="122"/>
      <c r="J689" s="173"/>
      <c r="K689" s="181"/>
      <c r="L689" s="122"/>
      <c r="M689" s="122"/>
      <c r="N689" s="122"/>
      <c r="O689" s="122"/>
      <c r="P689" s="122"/>
      <c r="Q689" s="122"/>
      <c r="R689" s="122"/>
      <c r="S689" s="122"/>
      <c r="T689" s="122"/>
      <c r="U689" s="122"/>
      <c r="V689" s="122"/>
      <c r="W689" s="122"/>
      <c r="X689" s="122"/>
      <c r="Y689" s="122"/>
    </row>
    <row r="690" spans="1:25" ht="15.75" customHeight="1" x14ac:dyDescent="0.2">
      <c r="A690" s="181"/>
      <c r="B690" s="174"/>
      <c r="C690" s="175"/>
      <c r="D690" s="175"/>
      <c r="E690" s="175"/>
      <c r="F690" s="122"/>
      <c r="G690" s="122"/>
      <c r="H690" s="122"/>
      <c r="I690" s="122"/>
      <c r="J690" s="173"/>
      <c r="K690" s="181"/>
      <c r="L690" s="122"/>
      <c r="M690" s="122"/>
      <c r="N690" s="122"/>
      <c r="O690" s="122"/>
      <c r="P690" s="122"/>
      <c r="Q690" s="122"/>
      <c r="R690" s="122"/>
      <c r="S690" s="122"/>
      <c r="T690" s="122"/>
      <c r="U690" s="122"/>
      <c r="V690" s="122"/>
      <c r="W690" s="122"/>
      <c r="X690" s="122"/>
      <c r="Y690" s="122"/>
    </row>
    <row r="691" spans="1:25" ht="15.75" customHeight="1" x14ac:dyDescent="0.2">
      <c r="A691" s="181"/>
      <c r="B691" s="174"/>
      <c r="C691" s="175"/>
      <c r="D691" s="175"/>
      <c r="E691" s="175"/>
      <c r="F691" s="122"/>
      <c r="G691" s="122"/>
      <c r="H691" s="122"/>
      <c r="I691" s="122"/>
      <c r="J691" s="173"/>
      <c r="K691" s="181"/>
      <c r="L691" s="122"/>
      <c r="M691" s="122"/>
      <c r="N691" s="122"/>
      <c r="O691" s="122"/>
      <c r="P691" s="122"/>
      <c r="Q691" s="122"/>
      <c r="R691" s="122"/>
      <c r="S691" s="122"/>
      <c r="T691" s="122"/>
      <c r="U691" s="122"/>
      <c r="V691" s="122"/>
      <c r="W691" s="122"/>
      <c r="X691" s="122"/>
      <c r="Y691" s="122"/>
    </row>
    <row r="692" spans="1:25" ht="15.75" customHeight="1" x14ac:dyDescent="0.2">
      <c r="A692" s="181"/>
      <c r="B692" s="174"/>
      <c r="C692" s="175"/>
      <c r="D692" s="175"/>
      <c r="E692" s="175"/>
      <c r="F692" s="122"/>
      <c r="G692" s="122"/>
      <c r="H692" s="122"/>
      <c r="I692" s="122"/>
      <c r="J692" s="173"/>
      <c r="K692" s="181"/>
      <c r="L692" s="122"/>
      <c r="M692" s="122"/>
      <c r="N692" s="122"/>
      <c r="O692" s="122"/>
      <c r="P692" s="122"/>
      <c r="Q692" s="122"/>
      <c r="R692" s="122"/>
      <c r="S692" s="122"/>
      <c r="T692" s="122"/>
      <c r="U692" s="122"/>
      <c r="V692" s="122"/>
      <c r="W692" s="122"/>
      <c r="X692" s="122"/>
      <c r="Y692" s="122"/>
    </row>
    <row r="693" spans="1:25" ht="15.75" customHeight="1" x14ac:dyDescent="0.2">
      <c r="A693" s="181"/>
      <c r="B693" s="174"/>
      <c r="C693" s="175"/>
      <c r="D693" s="175"/>
      <c r="E693" s="175"/>
      <c r="F693" s="122"/>
      <c r="G693" s="122"/>
      <c r="H693" s="122"/>
      <c r="I693" s="122"/>
      <c r="J693" s="173"/>
      <c r="K693" s="181"/>
      <c r="L693" s="122"/>
      <c r="M693" s="122"/>
      <c r="N693" s="122"/>
      <c r="O693" s="122"/>
      <c r="P693" s="122"/>
      <c r="Q693" s="122"/>
      <c r="R693" s="122"/>
      <c r="S693" s="122"/>
      <c r="T693" s="122"/>
      <c r="U693" s="122"/>
      <c r="V693" s="122"/>
      <c r="W693" s="122"/>
      <c r="X693" s="122"/>
      <c r="Y693" s="122"/>
    </row>
    <row r="694" spans="1:25" ht="15.75" customHeight="1" x14ac:dyDescent="0.2">
      <c r="A694" s="181"/>
      <c r="B694" s="174"/>
      <c r="C694" s="175"/>
      <c r="D694" s="175"/>
      <c r="E694" s="175"/>
      <c r="F694" s="122"/>
      <c r="G694" s="122"/>
      <c r="H694" s="122"/>
      <c r="I694" s="122"/>
      <c r="J694" s="173"/>
      <c r="K694" s="181"/>
      <c r="L694" s="122"/>
      <c r="M694" s="122"/>
      <c r="N694" s="122"/>
      <c r="O694" s="122"/>
      <c r="P694" s="122"/>
      <c r="Q694" s="122"/>
      <c r="R694" s="122"/>
      <c r="S694" s="122"/>
      <c r="T694" s="122"/>
      <c r="U694" s="122"/>
      <c r="V694" s="122"/>
      <c r="W694" s="122"/>
      <c r="X694" s="122"/>
      <c r="Y694" s="122"/>
    </row>
    <row r="695" spans="1:25" ht="15.75" customHeight="1" x14ac:dyDescent="0.2">
      <c r="A695" s="181"/>
      <c r="B695" s="174"/>
      <c r="C695" s="175"/>
      <c r="D695" s="175"/>
      <c r="E695" s="175"/>
      <c r="F695" s="122"/>
      <c r="G695" s="122"/>
      <c r="H695" s="122"/>
      <c r="I695" s="122"/>
      <c r="J695" s="173"/>
      <c r="K695" s="181"/>
      <c r="L695" s="122"/>
      <c r="M695" s="122"/>
      <c r="N695" s="122"/>
      <c r="O695" s="122"/>
      <c r="P695" s="122"/>
      <c r="Q695" s="122"/>
      <c r="R695" s="122"/>
      <c r="S695" s="122"/>
      <c r="T695" s="122"/>
      <c r="U695" s="122"/>
      <c r="V695" s="122"/>
      <c r="W695" s="122"/>
      <c r="X695" s="122"/>
      <c r="Y695" s="122"/>
    </row>
    <row r="696" spans="1:25" ht="15.75" customHeight="1" x14ac:dyDescent="0.2">
      <c r="A696" s="181"/>
      <c r="B696" s="174"/>
      <c r="C696" s="175"/>
      <c r="D696" s="175"/>
      <c r="E696" s="175"/>
      <c r="F696" s="122"/>
      <c r="G696" s="122"/>
      <c r="H696" s="122"/>
      <c r="I696" s="122"/>
      <c r="J696" s="173"/>
      <c r="K696" s="181"/>
      <c r="L696" s="122"/>
      <c r="M696" s="122"/>
      <c r="N696" s="122"/>
      <c r="O696" s="122"/>
      <c r="P696" s="122"/>
      <c r="Q696" s="122"/>
      <c r="R696" s="122"/>
      <c r="S696" s="122"/>
      <c r="T696" s="122"/>
      <c r="U696" s="122"/>
      <c r="V696" s="122"/>
      <c r="W696" s="122"/>
      <c r="X696" s="122"/>
      <c r="Y696" s="122"/>
    </row>
    <row r="697" spans="1:25" ht="15.75" customHeight="1" x14ac:dyDescent="0.2">
      <c r="A697" s="181"/>
      <c r="B697" s="174"/>
      <c r="C697" s="175"/>
      <c r="D697" s="175"/>
      <c r="E697" s="175"/>
      <c r="F697" s="122"/>
      <c r="G697" s="122"/>
      <c r="H697" s="122"/>
      <c r="I697" s="122"/>
      <c r="J697" s="173"/>
      <c r="K697" s="181"/>
      <c r="L697" s="122"/>
      <c r="M697" s="122"/>
      <c r="N697" s="122"/>
      <c r="O697" s="122"/>
      <c r="P697" s="122"/>
      <c r="Q697" s="122"/>
      <c r="R697" s="122"/>
      <c r="S697" s="122"/>
      <c r="T697" s="122"/>
      <c r="U697" s="122"/>
      <c r="V697" s="122"/>
      <c r="W697" s="122"/>
      <c r="X697" s="122"/>
      <c r="Y697" s="122"/>
    </row>
    <row r="698" spans="1:25" ht="15.75" customHeight="1" x14ac:dyDescent="0.2">
      <c r="A698" s="181"/>
      <c r="B698" s="174"/>
      <c r="C698" s="175"/>
      <c r="D698" s="175"/>
      <c r="E698" s="175"/>
      <c r="F698" s="122"/>
      <c r="G698" s="122"/>
      <c r="H698" s="122"/>
      <c r="I698" s="122"/>
      <c r="J698" s="173"/>
      <c r="K698" s="181"/>
      <c r="L698" s="122"/>
      <c r="M698" s="122"/>
      <c r="N698" s="122"/>
      <c r="O698" s="122"/>
      <c r="P698" s="122"/>
      <c r="Q698" s="122"/>
      <c r="R698" s="122"/>
      <c r="S698" s="122"/>
      <c r="T698" s="122"/>
      <c r="U698" s="122"/>
      <c r="V698" s="122"/>
      <c r="W698" s="122"/>
      <c r="X698" s="122"/>
      <c r="Y698" s="122"/>
    </row>
    <row r="699" spans="1:25" ht="15.75" customHeight="1" x14ac:dyDescent="0.2">
      <c r="A699" s="181"/>
      <c r="B699" s="174"/>
      <c r="C699" s="175"/>
      <c r="D699" s="175"/>
      <c r="E699" s="175"/>
      <c r="F699" s="122"/>
      <c r="G699" s="122"/>
      <c r="H699" s="122"/>
      <c r="I699" s="122"/>
      <c r="J699" s="173"/>
      <c r="K699" s="181"/>
      <c r="L699" s="122"/>
      <c r="M699" s="122"/>
      <c r="N699" s="122"/>
      <c r="O699" s="122"/>
      <c r="P699" s="122"/>
      <c r="Q699" s="122"/>
      <c r="R699" s="122"/>
      <c r="S699" s="122"/>
      <c r="T699" s="122"/>
      <c r="U699" s="122"/>
      <c r="V699" s="122"/>
      <c r="W699" s="122"/>
      <c r="X699" s="122"/>
      <c r="Y699" s="122"/>
    </row>
    <row r="700" spans="1:25" ht="15.75" customHeight="1" x14ac:dyDescent="0.2">
      <c r="A700" s="181"/>
      <c r="B700" s="174"/>
      <c r="C700" s="175"/>
      <c r="D700" s="175"/>
      <c r="E700" s="175"/>
      <c r="F700" s="122"/>
      <c r="G700" s="122"/>
      <c r="H700" s="122"/>
      <c r="I700" s="122"/>
      <c r="J700" s="173"/>
      <c r="K700" s="181"/>
      <c r="L700" s="122"/>
      <c r="M700" s="122"/>
      <c r="N700" s="122"/>
      <c r="O700" s="122"/>
      <c r="P700" s="122"/>
      <c r="Q700" s="122"/>
      <c r="R700" s="122"/>
      <c r="S700" s="122"/>
      <c r="T700" s="122"/>
      <c r="U700" s="122"/>
      <c r="V700" s="122"/>
      <c r="W700" s="122"/>
      <c r="X700" s="122"/>
      <c r="Y700" s="122"/>
    </row>
    <row r="701" spans="1:25" ht="15.75" customHeight="1" x14ac:dyDescent="0.2">
      <c r="A701" s="181"/>
      <c r="B701" s="174"/>
      <c r="C701" s="175"/>
      <c r="D701" s="175"/>
      <c r="E701" s="175"/>
      <c r="F701" s="122"/>
      <c r="G701" s="122"/>
      <c r="H701" s="122"/>
      <c r="I701" s="122"/>
      <c r="J701" s="173"/>
      <c r="K701" s="181"/>
      <c r="L701" s="122"/>
      <c r="M701" s="122"/>
      <c r="N701" s="122"/>
      <c r="O701" s="122"/>
      <c r="P701" s="122"/>
      <c r="Q701" s="122"/>
      <c r="R701" s="122"/>
      <c r="S701" s="122"/>
      <c r="T701" s="122"/>
      <c r="U701" s="122"/>
      <c r="V701" s="122"/>
      <c r="W701" s="122"/>
      <c r="X701" s="122"/>
      <c r="Y701" s="122"/>
    </row>
    <row r="702" spans="1:25" ht="15.75" customHeight="1" x14ac:dyDescent="0.2">
      <c r="A702" s="181"/>
      <c r="B702" s="174"/>
      <c r="C702" s="175"/>
      <c r="D702" s="175"/>
      <c r="E702" s="175"/>
      <c r="F702" s="122"/>
      <c r="G702" s="122"/>
      <c r="H702" s="122"/>
      <c r="I702" s="122"/>
      <c r="J702" s="173"/>
      <c r="K702" s="181"/>
      <c r="L702" s="122"/>
      <c r="M702" s="122"/>
      <c r="N702" s="122"/>
      <c r="O702" s="122"/>
      <c r="P702" s="122"/>
      <c r="Q702" s="122"/>
      <c r="R702" s="122"/>
      <c r="S702" s="122"/>
      <c r="T702" s="122"/>
      <c r="U702" s="122"/>
      <c r="V702" s="122"/>
      <c r="W702" s="122"/>
      <c r="X702" s="122"/>
      <c r="Y702" s="122"/>
    </row>
    <row r="703" spans="1:25" ht="15.75" customHeight="1" x14ac:dyDescent="0.2">
      <c r="A703" s="181"/>
      <c r="B703" s="174"/>
      <c r="C703" s="175"/>
      <c r="D703" s="175"/>
      <c r="E703" s="175"/>
      <c r="F703" s="122"/>
      <c r="G703" s="122"/>
      <c r="H703" s="122"/>
      <c r="I703" s="122"/>
      <c r="J703" s="173"/>
      <c r="K703" s="181"/>
      <c r="L703" s="122"/>
      <c r="M703" s="122"/>
      <c r="N703" s="122"/>
      <c r="O703" s="122"/>
      <c r="P703" s="122"/>
      <c r="Q703" s="122"/>
      <c r="R703" s="122"/>
      <c r="S703" s="122"/>
      <c r="T703" s="122"/>
      <c r="U703" s="122"/>
      <c r="V703" s="122"/>
      <c r="W703" s="122"/>
      <c r="X703" s="122"/>
      <c r="Y703" s="122"/>
    </row>
    <row r="704" spans="1:25" ht="15.75" customHeight="1" x14ac:dyDescent="0.2">
      <c r="A704" s="181"/>
      <c r="B704" s="174"/>
      <c r="C704" s="175"/>
      <c r="D704" s="175"/>
      <c r="E704" s="175"/>
      <c r="F704" s="122"/>
      <c r="G704" s="122"/>
      <c r="H704" s="122"/>
      <c r="I704" s="122"/>
      <c r="J704" s="173"/>
      <c r="K704" s="181"/>
      <c r="L704" s="122"/>
      <c r="M704" s="122"/>
      <c r="N704" s="122"/>
      <c r="O704" s="122"/>
      <c r="P704" s="122"/>
      <c r="Q704" s="122"/>
      <c r="R704" s="122"/>
      <c r="S704" s="122"/>
      <c r="T704" s="122"/>
      <c r="U704" s="122"/>
      <c r="V704" s="122"/>
      <c r="W704" s="122"/>
      <c r="X704" s="122"/>
      <c r="Y704" s="122"/>
    </row>
    <row r="705" spans="1:25" ht="15.75" customHeight="1" x14ac:dyDescent="0.2">
      <c r="A705" s="181"/>
      <c r="B705" s="174"/>
      <c r="C705" s="175"/>
      <c r="D705" s="175"/>
      <c r="E705" s="175"/>
      <c r="F705" s="122"/>
      <c r="G705" s="122"/>
      <c r="H705" s="122"/>
      <c r="I705" s="122"/>
      <c r="J705" s="173"/>
      <c r="K705" s="181"/>
      <c r="L705" s="122"/>
      <c r="M705" s="122"/>
      <c r="N705" s="122"/>
      <c r="O705" s="122"/>
      <c r="P705" s="122"/>
      <c r="Q705" s="122"/>
      <c r="R705" s="122"/>
      <c r="S705" s="122"/>
      <c r="T705" s="122"/>
      <c r="U705" s="122"/>
      <c r="V705" s="122"/>
      <c r="W705" s="122"/>
      <c r="X705" s="122"/>
      <c r="Y705" s="122"/>
    </row>
    <row r="706" spans="1:25" ht="15.75" customHeight="1" x14ac:dyDescent="0.2">
      <c r="A706" s="181"/>
      <c r="B706" s="174"/>
      <c r="C706" s="175"/>
      <c r="D706" s="175"/>
      <c r="E706" s="175"/>
      <c r="F706" s="122"/>
      <c r="G706" s="122"/>
      <c r="H706" s="122"/>
      <c r="I706" s="122"/>
      <c r="J706" s="173"/>
      <c r="K706" s="181"/>
      <c r="L706" s="122"/>
      <c r="M706" s="122"/>
      <c r="N706" s="122"/>
      <c r="O706" s="122"/>
      <c r="P706" s="122"/>
      <c r="Q706" s="122"/>
      <c r="R706" s="122"/>
      <c r="S706" s="122"/>
      <c r="T706" s="122"/>
      <c r="U706" s="122"/>
      <c r="V706" s="122"/>
      <c r="W706" s="122"/>
      <c r="X706" s="122"/>
      <c r="Y706" s="122"/>
    </row>
    <row r="707" spans="1:25" ht="15.75" customHeight="1" x14ac:dyDescent="0.2">
      <c r="A707" s="181"/>
      <c r="B707" s="174"/>
      <c r="C707" s="175"/>
      <c r="D707" s="175"/>
      <c r="E707" s="175"/>
      <c r="F707" s="122"/>
      <c r="G707" s="122"/>
      <c r="H707" s="122"/>
      <c r="I707" s="122"/>
      <c r="J707" s="173"/>
      <c r="K707" s="181"/>
      <c r="L707" s="122"/>
      <c r="M707" s="122"/>
      <c r="N707" s="122"/>
      <c r="O707" s="122"/>
      <c r="P707" s="122"/>
      <c r="Q707" s="122"/>
      <c r="R707" s="122"/>
      <c r="S707" s="122"/>
      <c r="T707" s="122"/>
      <c r="U707" s="122"/>
      <c r="V707" s="122"/>
      <c r="W707" s="122"/>
      <c r="X707" s="122"/>
      <c r="Y707" s="122"/>
    </row>
    <row r="708" spans="1:25" ht="15.75" customHeight="1" x14ac:dyDescent="0.2">
      <c r="A708" s="181"/>
      <c r="B708" s="174"/>
      <c r="C708" s="175"/>
      <c r="D708" s="175"/>
      <c r="E708" s="175"/>
      <c r="F708" s="122"/>
      <c r="G708" s="122"/>
      <c r="H708" s="122"/>
      <c r="I708" s="122"/>
      <c r="J708" s="173"/>
      <c r="K708" s="181"/>
      <c r="L708" s="122"/>
      <c r="M708" s="122"/>
      <c r="N708" s="122"/>
      <c r="O708" s="122"/>
      <c r="P708" s="122"/>
      <c r="Q708" s="122"/>
      <c r="R708" s="122"/>
      <c r="S708" s="122"/>
      <c r="T708" s="122"/>
      <c r="U708" s="122"/>
      <c r="V708" s="122"/>
      <c r="W708" s="122"/>
      <c r="X708" s="122"/>
      <c r="Y708" s="122"/>
    </row>
    <row r="709" spans="1:25" ht="15.75" customHeight="1" x14ac:dyDescent="0.2">
      <c r="A709" s="181"/>
      <c r="B709" s="174"/>
      <c r="C709" s="175"/>
      <c r="D709" s="175"/>
      <c r="E709" s="175"/>
      <c r="F709" s="122"/>
      <c r="G709" s="122"/>
      <c r="H709" s="122"/>
      <c r="I709" s="122"/>
      <c r="J709" s="173"/>
      <c r="K709" s="181"/>
      <c r="L709" s="122"/>
      <c r="M709" s="122"/>
      <c r="N709" s="122"/>
      <c r="O709" s="122"/>
      <c r="P709" s="122"/>
      <c r="Q709" s="122"/>
      <c r="R709" s="122"/>
      <c r="S709" s="122"/>
      <c r="T709" s="122"/>
      <c r="U709" s="122"/>
      <c r="V709" s="122"/>
      <c r="W709" s="122"/>
      <c r="X709" s="122"/>
      <c r="Y709" s="122"/>
    </row>
    <row r="710" spans="1:25" ht="15.75" customHeight="1" x14ac:dyDescent="0.2">
      <c r="A710" s="181"/>
      <c r="B710" s="174"/>
      <c r="C710" s="175"/>
      <c r="D710" s="175"/>
      <c r="E710" s="175"/>
      <c r="F710" s="122"/>
      <c r="G710" s="122"/>
      <c r="H710" s="122"/>
      <c r="I710" s="122"/>
      <c r="J710" s="173"/>
      <c r="K710" s="181"/>
      <c r="L710" s="122"/>
      <c r="M710" s="122"/>
      <c r="N710" s="122"/>
      <c r="O710" s="122"/>
      <c r="P710" s="122"/>
      <c r="Q710" s="122"/>
      <c r="R710" s="122"/>
      <c r="S710" s="122"/>
      <c r="T710" s="122"/>
      <c r="U710" s="122"/>
      <c r="V710" s="122"/>
      <c r="W710" s="122"/>
      <c r="X710" s="122"/>
      <c r="Y710" s="122"/>
    </row>
    <row r="711" spans="1:25" ht="15.75" customHeight="1" x14ac:dyDescent="0.2">
      <c r="A711" s="181"/>
      <c r="B711" s="174"/>
      <c r="C711" s="175"/>
      <c r="D711" s="175"/>
      <c r="E711" s="175"/>
      <c r="F711" s="122"/>
      <c r="G711" s="122"/>
      <c r="H711" s="122"/>
      <c r="I711" s="122"/>
      <c r="J711" s="173"/>
      <c r="K711" s="181"/>
      <c r="L711" s="122"/>
      <c r="M711" s="122"/>
      <c r="N711" s="122"/>
      <c r="O711" s="122"/>
      <c r="P711" s="122"/>
      <c r="Q711" s="122"/>
      <c r="R711" s="122"/>
      <c r="S711" s="122"/>
      <c r="T711" s="122"/>
      <c r="U711" s="122"/>
      <c r="V711" s="122"/>
      <c r="W711" s="122"/>
      <c r="X711" s="122"/>
      <c r="Y711" s="122"/>
    </row>
    <row r="712" spans="1:25" ht="15.75" customHeight="1" x14ac:dyDescent="0.2">
      <c r="A712" s="181"/>
      <c r="B712" s="174"/>
      <c r="C712" s="175"/>
      <c r="D712" s="175"/>
      <c r="E712" s="175"/>
      <c r="F712" s="122"/>
      <c r="G712" s="122"/>
      <c r="H712" s="122"/>
      <c r="I712" s="122"/>
      <c r="J712" s="173"/>
      <c r="K712" s="181"/>
      <c r="L712" s="122"/>
      <c r="M712" s="122"/>
      <c r="N712" s="122"/>
      <c r="O712" s="122"/>
      <c r="P712" s="122"/>
      <c r="Q712" s="122"/>
      <c r="R712" s="122"/>
      <c r="S712" s="122"/>
      <c r="T712" s="122"/>
      <c r="U712" s="122"/>
      <c r="V712" s="122"/>
      <c r="W712" s="122"/>
      <c r="X712" s="122"/>
      <c r="Y712" s="122"/>
    </row>
    <row r="713" spans="1:25" ht="15.75" customHeight="1" x14ac:dyDescent="0.2">
      <c r="A713" s="181"/>
      <c r="B713" s="174"/>
      <c r="C713" s="175"/>
      <c r="D713" s="175"/>
      <c r="E713" s="175"/>
      <c r="F713" s="122"/>
      <c r="G713" s="122"/>
      <c r="H713" s="122"/>
      <c r="I713" s="122"/>
      <c r="J713" s="173"/>
      <c r="K713" s="181"/>
      <c r="L713" s="122"/>
      <c r="M713" s="122"/>
      <c r="N713" s="122"/>
      <c r="O713" s="122"/>
      <c r="P713" s="122"/>
      <c r="Q713" s="122"/>
      <c r="R713" s="122"/>
      <c r="S713" s="122"/>
      <c r="T713" s="122"/>
      <c r="U713" s="122"/>
      <c r="V713" s="122"/>
      <c r="W713" s="122"/>
      <c r="X713" s="122"/>
      <c r="Y713" s="122"/>
    </row>
    <row r="714" spans="1:25" ht="15.75" customHeight="1" x14ac:dyDescent="0.2">
      <c r="A714" s="181"/>
      <c r="B714" s="174"/>
      <c r="C714" s="175"/>
      <c r="D714" s="175"/>
      <c r="E714" s="175"/>
      <c r="F714" s="122"/>
      <c r="G714" s="122"/>
      <c r="H714" s="122"/>
      <c r="I714" s="122"/>
      <c r="J714" s="173"/>
      <c r="K714" s="181"/>
      <c r="L714" s="122"/>
      <c r="M714" s="122"/>
      <c r="N714" s="122"/>
      <c r="O714" s="122"/>
      <c r="P714" s="122"/>
      <c r="Q714" s="122"/>
      <c r="R714" s="122"/>
      <c r="S714" s="122"/>
      <c r="T714" s="122"/>
      <c r="U714" s="122"/>
      <c r="V714" s="122"/>
      <c r="W714" s="122"/>
      <c r="X714" s="122"/>
      <c r="Y714" s="122"/>
    </row>
    <row r="715" spans="1:25" ht="15.75" customHeight="1" x14ac:dyDescent="0.2">
      <c r="A715" s="181"/>
      <c r="B715" s="174"/>
      <c r="C715" s="175"/>
      <c r="D715" s="175"/>
      <c r="E715" s="175"/>
      <c r="F715" s="122"/>
      <c r="G715" s="122"/>
      <c r="H715" s="122"/>
      <c r="I715" s="122"/>
      <c r="J715" s="173"/>
      <c r="K715" s="181"/>
      <c r="L715" s="122"/>
      <c r="M715" s="122"/>
      <c r="N715" s="122"/>
      <c r="O715" s="122"/>
      <c r="P715" s="122"/>
      <c r="Q715" s="122"/>
      <c r="R715" s="122"/>
      <c r="S715" s="122"/>
      <c r="T715" s="122"/>
      <c r="U715" s="122"/>
      <c r="V715" s="122"/>
      <c r="W715" s="122"/>
      <c r="X715" s="122"/>
      <c r="Y715" s="122"/>
    </row>
    <row r="716" spans="1:25" ht="15.75" customHeight="1" x14ac:dyDescent="0.2">
      <c r="A716" s="181"/>
      <c r="B716" s="174"/>
      <c r="C716" s="175"/>
      <c r="D716" s="175"/>
      <c r="E716" s="175"/>
      <c r="F716" s="122"/>
      <c r="G716" s="122"/>
      <c r="H716" s="122"/>
      <c r="I716" s="122"/>
      <c r="J716" s="173"/>
      <c r="K716" s="181"/>
      <c r="L716" s="122"/>
      <c r="M716" s="122"/>
      <c r="N716" s="122"/>
      <c r="O716" s="122"/>
      <c r="P716" s="122"/>
      <c r="Q716" s="122"/>
      <c r="R716" s="122"/>
      <c r="S716" s="122"/>
      <c r="T716" s="122"/>
      <c r="U716" s="122"/>
      <c r="V716" s="122"/>
      <c r="W716" s="122"/>
      <c r="X716" s="122"/>
      <c r="Y716" s="122"/>
    </row>
    <row r="717" spans="1:25" ht="15.75" customHeight="1" x14ac:dyDescent="0.2">
      <c r="A717" s="181"/>
      <c r="B717" s="174"/>
      <c r="C717" s="175"/>
      <c r="D717" s="175"/>
      <c r="E717" s="175"/>
      <c r="F717" s="122"/>
      <c r="G717" s="122"/>
      <c r="H717" s="122"/>
      <c r="I717" s="122"/>
      <c r="J717" s="173"/>
      <c r="K717" s="181"/>
      <c r="L717" s="122"/>
      <c r="M717" s="122"/>
      <c r="N717" s="122"/>
      <c r="O717" s="122"/>
      <c r="P717" s="122"/>
      <c r="Q717" s="122"/>
      <c r="R717" s="122"/>
      <c r="S717" s="122"/>
      <c r="T717" s="122"/>
      <c r="U717" s="122"/>
      <c r="V717" s="122"/>
      <c r="W717" s="122"/>
      <c r="X717" s="122"/>
      <c r="Y717" s="122"/>
    </row>
    <row r="718" spans="1:25" ht="15.75" customHeight="1" x14ac:dyDescent="0.2">
      <c r="A718" s="181"/>
      <c r="B718" s="174"/>
      <c r="C718" s="175"/>
      <c r="D718" s="175"/>
      <c r="E718" s="175"/>
      <c r="F718" s="122"/>
      <c r="G718" s="122"/>
      <c r="H718" s="122"/>
      <c r="I718" s="122"/>
      <c r="J718" s="173"/>
      <c r="K718" s="181"/>
      <c r="L718" s="122"/>
      <c r="M718" s="122"/>
      <c r="N718" s="122"/>
      <c r="O718" s="122"/>
      <c r="P718" s="122"/>
      <c r="Q718" s="122"/>
      <c r="R718" s="122"/>
      <c r="S718" s="122"/>
      <c r="T718" s="122"/>
      <c r="U718" s="122"/>
      <c r="V718" s="122"/>
      <c r="W718" s="122"/>
      <c r="X718" s="122"/>
      <c r="Y718" s="122"/>
    </row>
    <row r="719" spans="1:25" ht="15.75" customHeight="1" x14ac:dyDescent="0.2">
      <c r="A719" s="181"/>
      <c r="B719" s="174"/>
      <c r="C719" s="175"/>
      <c r="D719" s="175"/>
      <c r="E719" s="175"/>
      <c r="F719" s="122"/>
      <c r="G719" s="122"/>
      <c r="H719" s="122"/>
      <c r="I719" s="122"/>
      <c r="J719" s="173"/>
      <c r="K719" s="181"/>
      <c r="L719" s="122"/>
      <c r="M719" s="122"/>
      <c r="N719" s="122"/>
      <c r="O719" s="122"/>
      <c r="P719" s="122"/>
      <c r="Q719" s="122"/>
      <c r="R719" s="122"/>
      <c r="S719" s="122"/>
      <c r="T719" s="122"/>
      <c r="U719" s="122"/>
      <c r="V719" s="122"/>
      <c r="W719" s="122"/>
      <c r="X719" s="122"/>
      <c r="Y719" s="122"/>
    </row>
    <row r="720" spans="1:25" ht="15.75" customHeight="1" x14ac:dyDescent="0.2">
      <c r="A720" s="181"/>
      <c r="B720" s="174"/>
      <c r="C720" s="175"/>
      <c r="D720" s="175"/>
      <c r="E720" s="175"/>
      <c r="F720" s="122"/>
      <c r="G720" s="122"/>
      <c r="H720" s="122"/>
      <c r="I720" s="122"/>
      <c r="J720" s="173"/>
      <c r="K720" s="181"/>
      <c r="L720" s="122"/>
      <c r="M720" s="122"/>
      <c r="N720" s="122"/>
      <c r="O720" s="122"/>
      <c r="P720" s="122"/>
      <c r="Q720" s="122"/>
      <c r="R720" s="122"/>
      <c r="S720" s="122"/>
      <c r="T720" s="122"/>
      <c r="U720" s="122"/>
      <c r="V720" s="122"/>
      <c r="W720" s="122"/>
      <c r="X720" s="122"/>
      <c r="Y720" s="122"/>
    </row>
    <row r="721" spans="1:25" ht="15.75" customHeight="1" x14ac:dyDescent="0.2">
      <c r="A721" s="181"/>
      <c r="B721" s="174"/>
      <c r="C721" s="175"/>
      <c r="D721" s="175"/>
      <c r="E721" s="175"/>
      <c r="F721" s="122"/>
      <c r="G721" s="122"/>
      <c r="H721" s="122"/>
      <c r="I721" s="122"/>
      <c r="J721" s="173"/>
      <c r="K721" s="181"/>
      <c r="L721" s="122"/>
      <c r="M721" s="122"/>
      <c r="N721" s="122"/>
      <c r="O721" s="122"/>
      <c r="P721" s="122"/>
      <c r="Q721" s="122"/>
      <c r="R721" s="122"/>
      <c r="S721" s="122"/>
      <c r="T721" s="122"/>
      <c r="U721" s="122"/>
      <c r="V721" s="122"/>
      <c r="W721" s="122"/>
      <c r="X721" s="122"/>
      <c r="Y721" s="122"/>
    </row>
    <row r="722" spans="1:25" ht="15.75" customHeight="1" x14ac:dyDescent="0.2">
      <c r="A722" s="181"/>
      <c r="B722" s="174"/>
      <c r="C722" s="175"/>
      <c r="D722" s="175"/>
      <c r="E722" s="175"/>
      <c r="F722" s="122"/>
      <c r="G722" s="122"/>
      <c r="H722" s="122"/>
      <c r="I722" s="122"/>
      <c r="J722" s="173"/>
      <c r="K722" s="181"/>
      <c r="L722" s="122"/>
      <c r="M722" s="122"/>
      <c r="N722" s="122"/>
      <c r="O722" s="122"/>
      <c r="P722" s="122"/>
      <c r="Q722" s="122"/>
      <c r="R722" s="122"/>
      <c r="S722" s="122"/>
      <c r="T722" s="122"/>
      <c r="U722" s="122"/>
      <c r="V722" s="122"/>
      <c r="W722" s="122"/>
      <c r="X722" s="122"/>
      <c r="Y722" s="122"/>
    </row>
    <row r="723" spans="1:25" ht="15.75" customHeight="1" x14ac:dyDescent="0.2">
      <c r="A723" s="181"/>
      <c r="B723" s="174"/>
      <c r="C723" s="175"/>
      <c r="D723" s="175"/>
      <c r="E723" s="175"/>
      <c r="F723" s="122"/>
      <c r="G723" s="122"/>
      <c r="H723" s="122"/>
      <c r="I723" s="122"/>
      <c r="J723" s="173"/>
      <c r="K723" s="181"/>
      <c r="L723" s="122"/>
      <c r="M723" s="122"/>
      <c r="N723" s="122"/>
      <c r="O723" s="122"/>
      <c r="P723" s="122"/>
      <c r="Q723" s="122"/>
      <c r="R723" s="122"/>
      <c r="S723" s="122"/>
      <c r="T723" s="122"/>
      <c r="U723" s="122"/>
      <c r="V723" s="122"/>
      <c r="W723" s="122"/>
      <c r="X723" s="122"/>
      <c r="Y723" s="122"/>
    </row>
    <row r="724" spans="1:25" ht="15.75" customHeight="1" x14ac:dyDescent="0.2">
      <c r="A724" s="181"/>
      <c r="B724" s="174"/>
      <c r="C724" s="175"/>
      <c r="D724" s="175"/>
      <c r="E724" s="175"/>
      <c r="F724" s="122"/>
      <c r="G724" s="122"/>
      <c r="H724" s="122"/>
      <c r="I724" s="122"/>
      <c r="J724" s="173"/>
      <c r="K724" s="181"/>
      <c r="L724" s="122"/>
      <c r="M724" s="122"/>
      <c r="N724" s="122"/>
      <c r="O724" s="122"/>
      <c r="P724" s="122"/>
      <c r="Q724" s="122"/>
      <c r="R724" s="122"/>
      <c r="S724" s="122"/>
      <c r="T724" s="122"/>
      <c r="U724" s="122"/>
      <c r="V724" s="122"/>
      <c r="W724" s="122"/>
      <c r="X724" s="122"/>
      <c r="Y724" s="122"/>
    </row>
    <row r="725" spans="1:25" ht="15.75" customHeight="1" x14ac:dyDescent="0.2">
      <c r="A725" s="181"/>
      <c r="B725" s="174"/>
      <c r="C725" s="175"/>
      <c r="D725" s="175"/>
      <c r="E725" s="175"/>
      <c r="F725" s="122"/>
      <c r="G725" s="122"/>
      <c r="H725" s="122"/>
      <c r="I725" s="122"/>
      <c r="J725" s="173"/>
      <c r="K725" s="181"/>
      <c r="L725" s="122"/>
      <c r="M725" s="122"/>
      <c r="N725" s="122"/>
      <c r="O725" s="122"/>
      <c r="P725" s="122"/>
      <c r="Q725" s="122"/>
      <c r="R725" s="122"/>
      <c r="S725" s="122"/>
      <c r="T725" s="122"/>
      <c r="U725" s="122"/>
      <c r="V725" s="122"/>
      <c r="W725" s="122"/>
      <c r="X725" s="122"/>
      <c r="Y725" s="122"/>
    </row>
    <row r="726" spans="1:25" ht="15.75" customHeight="1" x14ac:dyDescent="0.2">
      <c r="A726" s="181"/>
      <c r="B726" s="174"/>
      <c r="C726" s="175"/>
      <c r="D726" s="175"/>
      <c r="E726" s="175"/>
      <c r="F726" s="122"/>
      <c r="G726" s="122"/>
      <c r="H726" s="122"/>
      <c r="I726" s="122"/>
      <c r="J726" s="173"/>
      <c r="K726" s="181"/>
      <c r="L726" s="122"/>
      <c r="M726" s="122"/>
      <c r="N726" s="122"/>
      <c r="O726" s="122"/>
      <c r="P726" s="122"/>
      <c r="Q726" s="122"/>
      <c r="R726" s="122"/>
      <c r="S726" s="122"/>
      <c r="T726" s="122"/>
      <c r="U726" s="122"/>
      <c r="V726" s="122"/>
      <c r="W726" s="122"/>
      <c r="X726" s="122"/>
      <c r="Y726" s="122"/>
    </row>
    <row r="727" spans="1:25" ht="15.75" customHeight="1" x14ac:dyDescent="0.2">
      <c r="A727" s="181"/>
      <c r="B727" s="174"/>
      <c r="C727" s="175"/>
      <c r="D727" s="175"/>
      <c r="E727" s="175"/>
      <c r="F727" s="122"/>
      <c r="G727" s="122"/>
      <c r="H727" s="122"/>
      <c r="I727" s="122"/>
      <c r="J727" s="173"/>
      <c r="K727" s="181"/>
      <c r="L727" s="122"/>
      <c r="M727" s="122"/>
      <c r="N727" s="122"/>
      <c r="O727" s="122"/>
      <c r="P727" s="122"/>
      <c r="Q727" s="122"/>
      <c r="R727" s="122"/>
      <c r="S727" s="122"/>
      <c r="T727" s="122"/>
      <c r="U727" s="122"/>
      <c r="V727" s="122"/>
      <c r="W727" s="122"/>
      <c r="X727" s="122"/>
      <c r="Y727" s="122"/>
    </row>
    <row r="728" spans="1:25" ht="15.75" customHeight="1" x14ac:dyDescent="0.2">
      <c r="A728" s="181"/>
      <c r="B728" s="174"/>
      <c r="C728" s="175"/>
      <c r="D728" s="175"/>
      <c r="E728" s="175"/>
      <c r="F728" s="122"/>
      <c r="G728" s="122"/>
      <c r="H728" s="122"/>
      <c r="I728" s="122"/>
      <c r="J728" s="173"/>
      <c r="K728" s="181"/>
      <c r="L728" s="122"/>
      <c r="M728" s="122"/>
      <c r="N728" s="122"/>
      <c r="O728" s="122"/>
      <c r="P728" s="122"/>
      <c r="Q728" s="122"/>
      <c r="R728" s="122"/>
      <c r="S728" s="122"/>
      <c r="T728" s="122"/>
      <c r="U728" s="122"/>
      <c r="V728" s="122"/>
      <c r="W728" s="122"/>
      <c r="X728" s="122"/>
      <c r="Y728" s="122"/>
    </row>
    <row r="729" spans="1:25" ht="15.75" customHeight="1" x14ac:dyDescent="0.2">
      <c r="A729" s="181"/>
      <c r="B729" s="174"/>
      <c r="C729" s="175"/>
      <c r="D729" s="175"/>
      <c r="E729" s="175"/>
      <c r="F729" s="122"/>
      <c r="G729" s="122"/>
      <c r="H729" s="122"/>
      <c r="I729" s="122"/>
      <c r="J729" s="173"/>
      <c r="K729" s="181"/>
      <c r="L729" s="122"/>
      <c r="M729" s="122"/>
      <c r="N729" s="122"/>
      <c r="O729" s="122"/>
      <c r="P729" s="122"/>
      <c r="Q729" s="122"/>
      <c r="R729" s="122"/>
      <c r="S729" s="122"/>
      <c r="T729" s="122"/>
      <c r="U729" s="122"/>
      <c r="V729" s="122"/>
      <c r="W729" s="122"/>
      <c r="X729" s="122"/>
      <c r="Y729" s="122"/>
    </row>
    <row r="730" spans="1:25" ht="15.75" customHeight="1" x14ac:dyDescent="0.2">
      <c r="A730" s="181"/>
      <c r="B730" s="174"/>
      <c r="C730" s="175"/>
      <c r="D730" s="175"/>
      <c r="E730" s="175"/>
      <c r="F730" s="122"/>
      <c r="G730" s="122"/>
      <c r="H730" s="122"/>
      <c r="I730" s="122"/>
      <c r="J730" s="173"/>
      <c r="K730" s="181"/>
      <c r="L730" s="122"/>
      <c r="M730" s="122"/>
      <c r="N730" s="122"/>
      <c r="O730" s="122"/>
      <c r="P730" s="122"/>
      <c r="Q730" s="122"/>
      <c r="R730" s="122"/>
      <c r="S730" s="122"/>
      <c r="T730" s="122"/>
      <c r="U730" s="122"/>
      <c r="V730" s="122"/>
      <c r="W730" s="122"/>
      <c r="X730" s="122"/>
      <c r="Y730" s="122"/>
    </row>
    <row r="731" spans="1:25" ht="15.75" customHeight="1" x14ac:dyDescent="0.2">
      <c r="A731" s="181"/>
      <c r="B731" s="174"/>
      <c r="C731" s="175"/>
      <c r="D731" s="175"/>
      <c r="E731" s="175"/>
      <c r="F731" s="122"/>
      <c r="G731" s="122"/>
      <c r="H731" s="122"/>
      <c r="I731" s="122"/>
      <c r="J731" s="173"/>
      <c r="K731" s="181"/>
      <c r="L731" s="122"/>
      <c r="M731" s="122"/>
      <c r="N731" s="122"/>
      <c r="O731" s="122"/>
      <c r="P731" s="122"/>
      <c r="Q731" s="122"/>
      <c r="R731" s="122"/>
      <c r="S731" s="122"/>
      <c r="T731" s="122"/>
      <c r="U731" s="122"/>
      <c r="V731" s="122"/>
      <c r="W731" s="122"/>
      <c r="X731" s="122"/>
      <c r="Y731" s="122"/>
    </row>
    <row r="732" spans="1:25" ht="15.75" customHeight="1" x14ac:dyDescent="0.2">
      <c r="A732" s="181"/>
      <c r="B732" s="174"/>
      <c r="C732" s="175"/>
      <c r="D732" s="175"/>
      <c r="E732" s="175"/>
      <c r="F732" s="122"/>
      <c r="G732" s="122"/>
      <c r="H732" s="122"/>
      <c r="I732" s="122"/>
      <c r="J732" s="173"/>
      <c r="K732" s="181"/>
      <c r="L732" s="122"/>
      <c r="M732" s="122"/>
      <c r="N732" s="122"/>
      <c r="O732" s="122"/>
      <c r="P732" s="122"/>
      <c r="Q732" s="122"/>
      <c r="R732" s="122"/>
      <c r="S732" s="122"/>
      <c r="T732" s="122"/>
      <c r="U732" s="122"/>
      <c r="V732" s="122"/>
      <c r="W732" s="122"/>
      <c r="X732" s="122"/>
      <c r="Y732" s="122"/>
    </row>
    <row r="733" spans="1:25" ht="15.75" customHeight="1" x14ac:dyDescent="0.2">
      <c r="A733" s="181"/>
      <c r="B733" s="174"/>
      <c r="C733" s="175"/>
      <c r="D733" s="175"/>
      <c r="E733" s="175"/>
      <c r="F733" s="122"/>
      <c r="G733" s="122"/>
      <c r="H733" s="122"/>
      <c r="I733" s="122"/>
      <c r="J733" s="173"/>
      <c r="K733" s="181"/>
      <c r="L733" s="122"/>
      <c r="M733" s="122"/>
      <c r="N733" s="122"/>
      <c r="O733" s="122"/>
      <c r="P733" s="122"/>
      <c r="Q733" s="122"/>
      <c r="R733" s="122"/>
      <c r="S733" s="122"/>
      <c r="T733" s="122"/>
      <c r="U733" s="122"/>
      <c r="V733" s="122"/>
      <c r="W733" s="122"/>
      <c r="X733" s="122"/>
      <c r="Y733" s="122"/>
    </row>
    <row r="734" spans="1:25" ht="15.75" customHeight="1" x14ac:dyDescent="0.2">
      <c r="A734" s="181"/>
      <c r="B734" s="174"/>
      <c r="C734" s="175"/>
      <c r="D734" s="175"/>
      <c r="E734" s="175"/>
      <c r="F734" s="122"/>
      <c r="G734" s="122"/>
      <c r="H734" s="122"/>
      <c r="I734" s="122"/>
      <c r="J734" s="173"/>
      <c r="K734" s="181"/>
      <c r="L734" s="122"/>
      <c r="M734" s="122"/>
      <c r="N734" s="122"/>
      <c r="O734" s="122"/>
      <c r="P734" s="122"/>
      <c r="Q734" s="122"/>
      <c r="R734" s="122"/>
      <c r="S734" s="122"/>
      <c r="T734" s="122"/>
      <c r="U734" s="122"/>
      <c r="V734" s="122"/>
      <c r="W734" s="122"/>
      <c r="X734" s="122"/>
      <c r="Y734" s="122"/>
    </row>
    <row r="735" spans="1:25" ht="15.75" customHeight="1" x14ac:dyDescent="0.2">
      <c r="A735" s="181"/>
      <c r="B735" s="174"/>
      <c r="C735" s="175"/>
      <c r="D735" s="175"/>
      <c r="E735" s="175"/>
      <c r="F735" s="122"/>
      <c r="G735" s="122"/>
      <c r="H735" s="122"/>
      <c r="I735" s="122"/>
      <c r="J735" s="173"/>
      <c r="K735" s="181"/>
      <c r="L735" s="122"/>
      <c r="M735" s="122"/>
      <c r="N735" s="122"/>
      <c r="O735" s="122"/>
      <c r="P735" s="122"/>
      <c r="Q735" s="122"/>
      <c r="R735" s="122"/>
      <c r="S735" s="122"/>
      <c r="T735" s="122"/>
      <c r="U735" s="122"/>
      <c r="V735" s="122"/>
      <c r="W735" s="122"/>
      <c r="X735" s="122"/>
      <c r="Y735" s="122"/>
    </row>
    <row r="736" spans="1:25" ht="15.75" customHeight="1" x14ac:dyDescent="0.2">
      <c r="A736" s="181"/>
      <c r="B736" s="174"/>
      <c r="C736" s="175"/>
      <c r="D736" s="175"/>
      <c r="E736" s="175"/>
      <c r="F736" s="122"/>
      <c r="G736" s="122"/>
      <c r="H736" s="122"/>
      <c r="I736" s="122"/>
      <c r="J736" s="173"/>
      <c r="K736" s="181"/>
      <c r="L736" s="122"/>
      <c r="M736" s="122"/>
      <c r="N736" s="122"/>
      <c r="O736" s="122"/>
      <c r="P736" s="122"/>
      <c r="Q736" s="122"/>
      <c r="R736" s="122"/>
      <c r="S736" s="122"/>
      <c r="T736" s="122"/>
      <c r="U736" s="122"/>
      <c r="V736" s="122"/>
      <c r="W736" s="122"/>
      <c r="X736" s="122"/>
      <c r="Y736" s="122"/>
    </row>
    <row r="737" spans="1:25" ht="15.75" customHeight="1" x14ac:dyDescent="0.2">
      <c r="A737" s="181"/>
      <c r="B737" s="174"/>
      <c r="C737" s="175"/>
      <c r="D737" s="175"/>
      <c r="E737" s="175"/>
      <c r="F737" s="122"/>
      <c r="G737" s="122"/>
      <c r="H737" s="122"/>
      <c r="I737" s="122"/>
      <c r="J737" s="173"/>
      <c r="K737" s="181"/>
      <c r="L737" s="122"/>
      <c r="M737" s="122"/>
      <c r="N737" s="122"/>
      <c r="O737" s="122"/>
      <c r="P737" s="122"/>
      <c r="Q737" s="122"/>
      <c r="R737" s="122"/>
      <c r="S737" s="122"/>
      <c r="T737" s="122"/>
      <c r="U737" s="122"/>
      <c r="V737" s="122"/>
      <c r="W737" s="122"/>
      <c r="X737" s="122"/>
      <c r="Y737" s="122"/>
    </row>
    <row r="738" spans="1:25" ht="15.75" customHeight="1" x14ac:dyDescent="0.2">
      <c r="A738" s="181"/>
      <c r="B738" s="174"/>
      <c r="C738" s="175"/>
      <c r="D738" s="175"/>
      <c r="E738" s="175"/>
      <c r="F738" s="122"/>
      <c r="G738" s="122"/>
      <c r="H738" s="122"/>
      <c r="I738" s="122"/>
      <c r="J738" s="173"/>
      <c r="K738" s="181"/>
      <c r="L738" s="122"/>
      <c r="M738" s="122"/>
      <c r="N738" s="122"/>
      <c r="O738" s="122"/>
      <c r="P738" s="122"/>
      <c r="Q738" s="122"/>
      <c r="R738" s="122"/>
      <c r="S738" s="122"/>
      <c r="T738" s="122"/>
      <c r="U738" s="122"/>
      <c r="V738" s="122"/>
      <c r="W738" s="122"/>
      <c r="X738" s="122"/>
      <c r="Y738" s="122"/>
    </row>
    <row r="739" spans="1:25" ht="15.75" customHeight="1" x14ac:dyDescent="0.2">
      <c r="A739" s="181"/>
      <c r="B739" s="174"/>
      <c r="C739" s="175"/>
      <c r="D739" s="175"/>
      <c r="E739" s="175"/>
      <c r="F739" s="122"/>
      <c r="G739" s="122"/>
      <c r="H739" s="122"/>
      <c r="I739" s="122"/>
      <c r="J739" s="173"/>
      <c r="K739" s="181"/>
      <c r="L739" s="122"/>
      <c r="M739" s="122"/>
      <c r="N739" s="122"/>
      <c r="O739" s="122"/>
      <c r="P739" s="122"/>
      <c r="Q739" s="122"/>
      <c r="R739" s="122"/>
      <c r="S739" s="122"/>
      <c r="T739" s="122"/>
      <c r="U739" s="122"/>
      <c r="V739" s="122"/>
      <c r="W739" s="122"/>
      <c r="X739" s="122"/>
      <c r="Y739" s="122"/>
    </row>
    <row r="740" spans="1:25" ht="15.75" customHeight="1" x14ac:dyDescent="0.2">
      <c r="A740" s="181"/>
      <c r="B740" s="174"/>
      <c r="C740" s="175"/>
      <c r="D740" s="175"/>
      <c r="E740" s="175"/>
      <c r="F740" s="122"/>
      <c r="G740" s="122"/>
      <c r="H740" s="122"/>
      <c r="I740" s="122"/>
      <c r="J740" s="173"/>
      <c r="K740" s="181"/>
      <c r="L740" s="122"/>
      <c r="M740" s="122"/>
      <c r="N740" s="122"/>
      <c r="O740" s="122"/>
      <c r="P740" s="122"/>
      <c r="Q740" s="122"/>
      <c r="R740" s="122"/>
      <c r="S740" s="122"/>
      <c r="T740" s="122"/>
      <c r="U740" s="122"/>
      <c r="V740" s="122"/>
      <c r="W740" s="122"/>
      <c r="X740" s="122"/>
      <c r="Y740" s="122"/>
    </row>
    <row r="741" spans="1:25" ht="15.75" customHeight="1" x14ac:dyDescent="0.2">
      <c r="A741" s="181"/>
      <c r="B741" s="174"/>
      <c r="C741" s="175"/>
      <c r="D741" s="175"/>
      <c r="E741" s="175"/>
      <c r="F741" s="122"/>
      <c r="G741" s="122"/>
      <c r="H741" s="122"/>
      <c r="I741" s="122"/>
      <c r="J741" s="173"/>
      <c r="K741" s="181"/>
      <c r="L741" s="122"/>
      <c r="M741" s="122"/>
      <c r="N741" s="122"/>
      <c r="O741" s="122"/>
      <c r="P741" s="122"/>
      <c r="Q741" s="122"/>
      <c r="R741" s="122"/>
      <c r="S741" s="122"/>
      <c r="T741" s="122"/>
      <c r="U741" s="122"/>
      <c r="V741" s="122"/>
      <c r="W741" s="122"/>
      <c r="X741" s="122"/>
      <c r="Y741" s="122"/>
    </row>
    <row r="742" spans="1:25" ht="15.75" customHeight="1" x14ac:dyDescent="0.2">
      <c r="A742" s="181"/>
      <c r="B742" s="174"/>
      <c r="C742" s="175"/>
      <c r="D742" s="175"/>
      <c r="E742" s="175"/>
      <c r="F742" s="122"/>
      <c r="G742" s="122"/>
      <c r="H742" s="122"/>
      <c r="I742" s="122"/>
      <c r="J742" s="173"/>
      <c r="K742" s="181"/>
      <c r="L742" s="122"/>
      <c r="M742" s="122"/>
      <c r="N742" s="122"/>
      <c r="O742" s="122"/>
      <c r="P742" s="122"/>
      <c r="Q742" s="122"/>
      <c r="R742" s="122"/>
      <c r="S742" s="122"/>
      <c r="T742" s="122"/>
      <c r="U742" s="122"/>
      <c r="V742" s="122"/>
      <c r="W742" s="122"/>
      <c r="X742" s="122"/>
      <c r="Y742" s="122"/>
    </row>
    <row r="743" spans="1:25" ht="15.75" customHeight="1" x14ac:dyDescent="0.2">
      <c r="A743" s="181"/>
      <c r="B743" s="174"/>
      <c r="C743" s="175"/>
      <c r="D743" s="175"/>
      <c r="E743" s="175"/>
      <c r="F743" s="122"/>
      <c r="G743" s="122"/>
      <c r="H743" s="122"/>
      <c r="I743" s="122"/>
      <c r="J743" s="173"/>
      <c r="K743" s="181"/>
      <c r="L743" s="122"/>
      <c r="M743" s="122"/>
      <c r="N743" s="122"/>
      <c r="O743" s="122"/>
      <c r="P743" s="122"/>
      <c r="Q743" s="122"/>
      <c r="R743" s="122"/>
      <c r="S743" s="122"/>
      <c r="T743" s="122"/>
      <c r="U743" s="122"/>
      <c r="V743" s="122"/>
      <c r="W743" s="122"/>
      <c r="X743" s="122"/>
      <c r="Y743" s="122"/>
    </row>
    <row r="744" spans="1:25" ht="15.75" customHeight="1" x14ac:dyDescent="0.2">
      <c r="A744" s="181"/>
      <c r="B744" s="174"/>
      <c r="C744" s="175"/>
      <c r="D744" s="175"/>
      <c r="E744" s="175"/>
      <c r="F744" s="122"/>
      <c r="G744" s="122"/>
      <c r="H744" s="122"/>
      <c r="I744" s="122"/>
      <c r="J744" s="173"/>
      <c r="K744" s="181"/>
      <c r="L744" s="122"/>
      <c r="M744" s="122"/>
      <c r="N744" s="122"/>
      <c r="O744" s="122"/>
      <c r="P744" s="122"/>
      <c r="Q744" s="122"/>
      <c r="R744" s="122"/>
      <c r="S744" s="122"/>
      <c r="T744" s="122"/>
      <c r="U744" s="122"/>
      <c r="V744" s="122"/>
      <c r="W744" s="122"/>
      <c r="X744" s="122"/>
      <c r="Y744" s="122"/>
    </row>
    <row r="745" spans="1:25" ht="15.75" customHeight="1" x14ac:dyDescent="0.2">
      <c r="A745" s="181"/>
      <c r="B745" s="174"/>
      <c r="C745" s="175"/>
      <c r="D745" s="175"/>
      <c r="E745" s="175"/>
      <c r="F745" s="122"/>
      <c r="G745" s="122"/>
      <c r="H745" s="122"/>
      <c r="I745" s="122"/>
      <c r="J745" s="173"/>
      <c r="K745" s="181"/>
      <c r="L745" s="122"/>
      <c r="M745" s="122"/>
      <c r="N745" s="122"/>
      <c r="O745" s="122"/>
      <c r="P745" s="122"/>
      <c r="Q745" s="122"/>
      <c r="R745" s="122"/>
      <c r="S745" s="122"/>
      <c r="T745" s="122"/>
      <c r="U745" s="122"/>
      <c r="V745" s="122"/>
      <c r="W745" s="122"/>
      <c r="X745" s="122"/>
      <c r="Y745" s="122"/>
    </row>
    <row r="746" spans="1:25" ht="15.75" customHeight="1" x14ac:dyDescent="0.2">
      <c r="A746" s="181"/>
      <c r="B746" s="174"/>
      <c r="C746" s="175"/>
      <c r="D746" s="175"/>
      <c r="E746" s="175"/>
      <c r="F746" s="122"/>
      <c r="G746" s="122"/>
      <c r="H746" s="122"/>
      <c r="I746" s="122"/>
      <c r="J746" s="173"/>
      <c r="K746" s="181"/>
      <c r="L746" s="122"/>
      <c r="M746" s="122"/>
      <c r="N746" s="122"/>
      <c r="O746" s="122"/>
      <c r="P746" s="122"/>
      <c r="Q746" s="122"/>
      <c r="R746" s="122"/>
      <c r="S746" s="122"/>
      <c r="T746" s="122"/>
      <c r="U746" s="122"/>
      <c r="V746" s="122"/>
      <c r="W746" s="122"/>
      <c r="X746" s="122"/>
      <c r="Y746" s="122"/>
    </row>
    <row r="747" spans="1:25" ht="15.75" customHeight="1" x14ac:dyDescent="0.2">
      <c r="A747" s="181"/>
      <c r="B747" s="174"/>
      <c r="C747" s="175"/>
      <c r="D747" s="175"/>
      <c r="E747" s="175"/>
      <c r="F747" s="122"/>
      <c r="G747" s="122"/>
      <c r="H747" s="122"/>
      <c r="I747" s="122"/>
      <c r="J747" s="173"/>
      <c r="K747" s="181"/>
      <c r="L747" s="122"/>
      <c r="M747" s="122"/>
      <c r="N747" s="122"/>
      <c r="O747" s="122"/>
      <c r="P747" s="122"/>
      <c r="Q747" s="122"/>
      <c r="R747" s="122"/>
      <c r="S747" s="122"/>
      <c r="T747" s="122"/>
      <c r="U747" s="122"/>
      <c r="V747" s="122"/>
      <c r="W747" s="122"/>
      <c r="X747" s="122"/>
      <c r="Y747" s="122"/>
    </row>
    <row r="748" spans="1:25" ht="15.75" customHeight="1" x14ac:dyDescent="0.2">
      <c r="A748" s="181"/>
      <c r="B748" s="174"/>
      <c r="C748" s="175"/>
      <c r="D748" s="175"/>
      <c r="E748" s="175"/>
      <c r="F748" s="122"/>
      <c r="G748" s="122"/>
      <c r="H748" s="122"/>
      <c r="I748" s="122"/>
      <c r="J748" s="173"/>
      <c r="K748" s="181"/>
      <c r="L748" s="122"/>
      <c r="M748" s="122"/>
      <c r="N748" s="122"/>
      <c r="O748" s="122"/>
      <c r="P748" s="122"/>
      <c r="Q748" s="122"/>
      <c r="R748" s="122"/>
      <c r="S748" s="122"/>
      <c r="T748" s="122"/>
      <c r="U748" s="122"/>
      <c r="V748" s="122"/>
      <c r="W748" s="122"/>
      <c r="X748" s="122"/>
      <c r="Y748" s="122"/>
    </row>
    <row r="749" spans="1:25" ht="15.75" customHeight="1" x14ac:dyDescent="0.2">
      <c r="A749" s="181"/>
      <c r="B749" s="174"/>
      <c r="C749" s="175"/>
      <c r="D749" s="175"/>
      <c r="E749" s="175"/>
      <c r="F749" s="122"/>
      <c r="G749" s="122"/>
      <c r="H749" s="122"/>
      <c r="I749" s="122"/>
      <c r="J749" s="173"/>
      <c r="K749" s="181"/>
      <c r="L749" s="122"/>
      <c r="M749" s="122"/>
      <c r="N749" s="122"/>
      <c r="O749" s="122"/>
      <c r="P749" s="122"/>
      <c r="Q749" s="122"/>
      <c r="R749" s="122"/>
      <c r="S749" s="122"/>
      <c r="T749" s="122"/>
      <c r="U749" s="122"/>
      <c r="V749" s="122"/>
      <c r="W749" s="122"/>
      <c r="X749" s="122"/>
      <c r="Y749" s="122"/>
    </row>
    <row r="750" spans="1:25" ht="15.75" customHeight="1" x14ac:dyDescent="0.2">
      <c r="A750" s="181"/>
      <c r="B750" s="174"/>
      <c r="C750" s="175"/>
      <c r="D750" s="175"/>
      <c r="E750" s="175"/>
      <c r="F750" s="122"/>
      <c r="G750" s="122"/>
      <c r="H750" s="122"/>
      <c r="I750" s="122"/>
      <c r="J750" s="173"/>
      <c r="K750" s="181"/>
      <c r="L750" s="122"/>
      <c r="M750" s="122"/>
      <c r="N750" s="122"/>
      <c r="O750" s="122"/>
      <c r="P750" s="122"/>
      <c r="Q750" s="122"/>
      <c r="R750" s="122"/>
      <c r="S750" s="122"/>
      <c r="T750" s="122"/>
      <c r="U750" s="122"/>
      <c r="V750" s="122"/>
      <c r="W750" s="122"/>
      <c r="X750" s="122"/>
      <c r="Y750" s="122"/>
    </row>
    <row r="751" spans="1:25" ht="15.75" customHeight="1" x14ac:dyDescent="0.2">
      <c r="A751" s="181"/>
      <c r="B751" s="174"/>
      <c r="C751" s="175"/>
      <c r="D751" s="175"/>
      <c r="E751" s="175"/>
      <c r="F751" s="122"/>
      <c r="G751" s="122"/>
      <c r="H751" s="122"/>
      <c r="I751" s="122"/>
      <c r="J751" s="173"/>
      <c r="K751" s="181"/>
      <c r="L751" s="122"/>
      <c r="M751" s="122"/>
      <c r="N751" s="122"/>
      <c r="O751" s="122"/>
      <c r="P751" s="122"/>
      <c r="Q751" s="122"/>
      <c r="R751" s="122"/>
      <c r="S751" s="122"/>
      <c r="T751" s="122"/>
      <c r="U751" s="122"/>
      <c r="V751" s="122"/>
      <c r="W751" s="122"/>
      <c r="X751" s="122"/>
      <c r="Y751" s="122"/>
    </row>
    <row r="752" spans="1:25" ht="15.75" customHeight="1" x14ac:dyDescent="0.2">
      <c r="A752" s="181"/>
      <c r="B752" s="174"/>
      <c r="C752" s="175"/>
      <c r="D752" s="175"/>
      <c r="E752" s="175"/>
      <c r="F752" s="122"/>
      <c r="G752" s="122"/>
      <c r="H752" s="122"/>
      <c r="I752" s="122"/>
      <c r="J752" s="173"/>
      <c r="K752" s="181"/>
      <c r="L752" s="122"/>
      <c r="M752" s="122"/>
      <c r="N752" s="122"/>
      <c r="O752" s="122"/>
      <c r="P752" s="122"/>
      <c r="Q752" s="122"/>
      <c r="R752" s="122"/>
      <c r="S752" s="122"/>
      <c r="T752" s="122"/>
      <c r="U752" s="122"/>
      <c r="V752" s="122"/>
      <c r="W752" s="122"/>
      <c r="X752" s="122"/>
      <c r="Y752" s="122"/>
    </row>
    <row r="753" spans="1:25" ht="15.75" customHeight="1" x14ac:dyDescent="0.2">
      <c r="A753" s="181"/>
      <c r="B753" s="174"/>
      <c r="C753" s="175"/>
      <c r="D753" s="175"/>
      <c r="E753" s="175"/>
      <c r="F753" s="122"/>
      <c r="G753" s="122"/>
      <c r="H753" s="122"/>
      <c r="I753" s="122"/>
      <c r="J753" s="173"/>
      <c r="K753" s="181"/>
      <c r="L753" s="122"/>
      <c r="M753" s="122"/>
      <c r="N753" s="122"/>
      <c r="O753" s="122"/>
      <c r="P753" s="122"/>
      <c r="Q753" s="122"/>
      <c r="R753" s="122"/>
      <c r="S753" s="122"/>
      <c r="T753" s="122"/>
      <c r="U753" s="122"/>
      <c r="V753" s="122"/>
      <c r="W753" s="122"/>
      <c r="X753" s="122"/>
      <c r="Y753" s="122"/>
    </row>
    <row r="754" spans="1:25" ht="15.75" customHeight="1" x14ac:dyDescent="0.2">
      <c r="A754" s="181"/>
      <c r="B754" s="174"/>
      <c r="C754" s="175"/>
      <c r="D754" s="175"/>
      <c r="E754" s="175"/>
      <c r="F754" s="122"/>
      <c r="G754" s="122"/>
      <c r="H754" s="122"/>
      <c r="I754" s="122"/>
      <c r="J754" s="173"/>
      <c r="K754" s="181"/>
      <c r="L754" s="122"/>
      <c r="M754" s="122"/>
      <c r="N754" s="122"/>
      <c r="O754" s="122"/>
      <c r="P754" s="122"/>
      <c r="Q754" s="122"/>
      <c r="R754" s="122"/>
      <c r="S754" s="122"/>
      <c r="T754" s="122"/>
      <c r="U754" s="122"/>
      <c r="V754" s="122"/>
      <c r="W754" s="122"/>
      <c r="X754" s="122"/>
      <c r="Y754" s="122"/>
    </row>
    <row r="755" spans="1:25" ht="15.75" customHeight="1" x14ac:dyDescent="0.2">
      <c r="A755" s="181"/>
      <c r="B755" s="174"/>
      <c r="C755" s="175"/>
      <c r="D755" s="175"/>
      <c r="E755" s="175"/>
      <c r="F755" s="122"/>
      <c r="G755" s="122"/>
      <c r="H755" s="122"/>
      <c r="I755" s="122"/>
      <c r="J755" s="173"/>
      <c r="K755" s="181"/>
      <c r="L755" s="122"/>
      <c r="M755" s="122"/>
      <c r="N755" s="122"/>
      <c r="O755" s="122"/>
      <c r="P755" s="122"/>
      <c r="Q755" s="122"/>
      <c r="R755" s="122"/>
      <c r="S755" s="122"/>
      <c r="T755" s="122"/>
      <c r="U755" s="122"/>
      <c r="V755" s="122"/>
      <c r="W755" s="122"/>
      <c r="X755" s="122"/>
      <c r="Y755" s="122"/>
    </row>
    <row r="756" spans="1:25" ht="15.75" customHeight="1" x14ac:dyDescent="0.2">
      <c r="A756" s="181"/>
      <c r="B756" s="174"/>
      <c r="C756" s="175"/>
      <c r="D756" s="175"/>
      <c r="E756" s="175"/>
      <c r="F756" s="122"/>
      <c r="G756" s="122"/>
      <c r="H756" s="122"/>
      <c r="I756" s="122"/>
      <c r="J756" s="173"/>
      <c r="K756" s="181"/>
      <c r="L756" s="122"/>
      <c r="M756" s="122"/>
      <c r="N756" s="122"/>
      <c r="O756" s="122"/>
      <c r="P756" s="122"/>
      <c r="Q756" s="122"/>
      <c r="R756" s="122"/>
      <c r="S756" s="122"/>
      <c r="T756" s="122"/>
      <c r="U756" s="122"/>
      <c r="V756" s="122"/>
      <c r="W756" s="122"/>
      <c r="X756" s="122"/>
      <c r="Y756" s="122"/>
    </row>
    <row r="757" spans="1:25" ht="15.75" customHeight="1" x14ac:dyDescent="0.2">
      <c r="A757" s="181"/>
      <c r="B757" s="174"/>
      <c r="C757" s="175"/>
      <c r="D757" s="175"/>
      <c r="E757" s="175"/>
      <c r="F757" s="122"/>
      <c r="G757" s="122"/>
      <c r="H757" s="122"/>
      <c r="I757" s="122"/>
      <c r="J757" s="173"/>
      <c r="K757" s="181"/>
      <c r="L757" s="122"/>
      <c r="M757" s="122"/>
      <c r="N757" s="122"/>
      <c r="O757" s="122"/>
      <c r="P757" s="122"/>
      <c r="Q757" s="122"/>
      <c r="R757" s="122"/>
      <c r="S757" s="122"/>
      <c r="T757" s="122"/>
      <c r="U757" s="122"/>
      <c r="V757" s="122"/>
      <c r="W757" s="122"/>
      <c r="X757" s="122"/>
      <c r="Y757" s="122"/>
    </row>
    <row r="758" spans="1:25" ht="15.75" customHeight="1" x14ac:dyDescent="0.2">
      <c r="A758" s="181"/>
      <c r="B758" s="174"/>
      <c r="C758" s="175"/>
      <c r="D758" s="175"/>
      <c r="E758" s="175"/>
      <c r="F758" s="122"/>
      <c r="G758" s="122"/>
      <c r="H758" s="122"/>
      <c r="I758" s="122"/>
      <c r="J758" s="173"/>
      <c r="K758" s="181"/>
      <c r="L758" s="122"/>
      <c r="M758" s="122"/>
      <c r="N758" s="122"/>
      <c r="O758" s="122"/>
      <c r="P758" s="122"/>
      <c r="Q758" s="122"/>
      <c r="R758" s="122"/>
      <c r="S758" s="122"/>
      <c r="T758" s="122"/>
      <c r="U758" s="122"/>
      <c r="V758" s="122"/>
      <c r="W758" s="122"/>
      <c r="X758" s="122"/>
      <c r="Y758" s="122"/>
    </row>
    <row r="759" spans="1:25" ht="15.75" customHeight="1" x14ac:dyDescent="0.2">
      <c r="A759" s="181"/>
      <c r="B759" s="174"/>
      <c r="C759" s="175"/>
      <c r="D759" s="175"/>
      <c r="E759" s="175"/>
      <c r="F759" s="122"/>
      <c r="G759" s="122"/>
      <c r="H759" s="122"/>
      <c r="I759" s="122"/>
      <c r="J759" s="173"/>
      <c r="K759" s="181"/>
      <c r="L759" s="122"/>
      <c r="M759" s="122"/>
      <c r="N759" s="122"/>
      <c r="O759" s="122"/>
      <c r="P759" s="122"/>
      <c r="Q759" s="122"/>
      <c r="R759" s="122"/>
      <c r="S759" s="122"/>
      <c r="T759" s="122"/>
      <c r="U759" s="122"/>
      <c r="V759" s="122"/>
      <c r="W759" s="122"/>
      <c r="X759" s="122"/>
      <c r="Y759" s="122"/>
    </row>
    <row r="760" spans="1:25" ht="15.75" customHeight="1" x14ac:dyDescent="0.2">
      <c r="A760" s="181"/>
      <c r="B760" s="174"/>
      <c r="C760" s="175"/>
      <c r="D760" s="175"/>
      <c r="E760" s="175"/>
      <c r="F760" s="122"/>
      <c r="G760" s="122"/>
      <c r="H760" s="122"/>
      <c r="I760" s="122"/>
      <c r="J760" s="173"/>
      <c r="K760" s="181"/>
      <c r="L760" s="122"/>
      <c r="M760" s="122"/>
      <c r="N760" s="122"/>
      <c r="O760" s="122"/>
      <c r="P760" s="122"/>
      <c r="Q760" s="122"/>
      <c r="R760" s="122"/>
      <c r="S760" s="122"/>
      <c r="T760" s="122"/>
      <c r="U760" s="122"/>
      <c r="V760" s="122"/>
      <c r="W760" s="122"/>
      <c r="X760" s="122"/>
      <c r="Y760" s="122"/>
    </row>
    <row r="761" spans="1:25" ht="15.75" customHeight="1" x14ac:dyDescent="0.2">
      <c r="A761" s="181"/>
      <c r="B761" s="174"/>
      <c r="C761" s="175"/>
      <c r="D761" s="175"/>
      <c r="E761" s="175"/>
      <c r="F761" s="122"/>
      <c r="G761" s="122"/>
      <c r="H761" s="122"/>
      <c r="I761" s="122"/>
      <c r="J761" s="173"/>
      <c r="K761" s="181"/>
      <c r="L761" s="122"/>
      <c r="M761" s="122"/>
      <c r="N761" s="122"/>
      <c r="O761" s="122"/>
      <c r="P761" s="122"/>
      <c r="Q761" s="122"/>
      <c r="R761" s="122"/>
      <c r="S761" s="122"/>
      <c r="T761" s="122"/>
      <c r="U761" s="122"/>
      <c r="V761" s="122"/>
      <c r="W761" s="122"/>
      <c r="X761" s="122"/>
      <c r="Y761" s="122"/>
    </row>
    <row r="762" spans="1:25" ht="15.75" customHeight="1" x14ac:dyDescent="0.2">
      <c r="A762" s="181"/>
      <c r="B762" s="174"/>
      <c r="C762" s="175"/>
      <c r="D762" s="175"/>
      <c r="E762" s="175"/>
      <c r="F762" s="122"/>
      <c r="G762" s="122"/>
      <c r="H762" s="122"/>
      <c r="I762" s="122"/>
      <c r="J762" s="173"/>
      <c r="K762" s="181"/>
      <c r="L762" s="122"/>
      <c r="M762" s="122"/>
      <c r="N762" s="122"/>
      <c r="O762" s="122"/>
      <c r="P762" s="122"/>
      <c r="Q762" s="122"/>
      <c r="R762" s="122"/>
      <c r="S762" s="122"/>
      <c r="T762" s="122"/>
      <c r="U762" s="122"/>
      <c r="V762" s="122"/>
      <c r="W762" s="122"/>
      <c r="X762" s="122"/>
      <c r="Y762" s="122"/>
    </row>
    <row r="763" spans="1:25" ht="15.75" customHeight="1" x14ac:dyDescent="0.2">
      <c r="A763" s="181"/>
      <c r="B763" s="174"/>
      <c r="C763" s="175"/>
      <c r="D763" s="175"/>
      <c r="E763" s="175"/>
      <c r="F763" s="122"/>
      <c r="G763" s="122"/>
      <c r="H763" s="122"/>
      <c r="I763" s="122"/>
      <c r="J763" s="173"/>
      <c r="K763" s="181"/>
      <c r="L763" s="122"/>
      <c r="M763" s="122"/>
      <c r="N763" s="122"/>
      <c r="O763" s="122"/>
      <c r="P763" s="122"/>
      <c r="Q763" s="122"/>
      <c r="R763" s="122"/>
      <c r="S763" s="122"/>
      <c r="T763" s="122"/>
      <c r="U763" s="122"/>
      <c r="V763" s="122"/>
      <c r="W763" s="122"/>
      <c r="X763" s="122"/>
      <c r="Y763" s="122"/>
    </row>
    <row r="764" spans="1:25" ht="15.75" customHeight="1" x14ac:dyDescent="0.2">
      <c r="A764" s="181"/>
      <c r="B764" s="174"/>
      <c r="C764" s="175"/>
      <c r="D764" s="175"/>
      <c r="E764" s="175"/>
      <c r="F764" s="122"/>
      <c r="G764" s="122"/>
      <c r="H764" s="122"/>
      <c r="I764" s="122"/>
      <c r="J764" s="173"/>
      <c r="K764" s="181"/>
      <c r="L764" s="122"/>
      <c r="M764" s="122"/>
      <c r="N764" s="122"/>
      <c r="O764" s="122"/>
      <c r="P764" s="122"/>
      <c r="Q764" s="122"/>
      <c r="R764" s="122"/>
      <c r="S764" s="122"/>
      <c r="T764" s="122"/>
      <c r="U764" s="122"/>
      <c r="V764" s="122"/>
      <c r="W764" s="122"/>
      <c r="X764" s="122"/>
      <c r="Y764" s="122"/>
    </row>
    <row r="765" spans="1:25" ht="15.75" customHeight="1" x14ac:dyDescent="0.2">
      <c r="A765" s="181"/>
      <c r="B765" s="174"/>
      <c r="C765" s="175"/>
      <c r="D765" s="175"/>
      <c r="E765" s="175"/>
      <c r="F765" s="122"/>
      <c r="G765" s="122"/>
      <c r="H765" s="122"/>
      <c r="I765" s="122"/>
      <c r="J765" s="173"/>
      <c r="K765" s="181"/>
      <c r="L765" s="122"/>
      <c r="M765" s="122"/>
      <c r="N765" s="122"/>
      <c r="O765" s="122"/>
      <c r="P765" s="122"/>
      <c r="Q765" s="122"/>
      <c r="R765" s="122"/>
      <c r="S765" s="122"/>
      <c r="T765" s="122"/>
      <c r="U765" s="122"/>
      <c r="V765" s="122"/>
      <c r="W765" s="122"/>
      <c r="X765" s="122"/>
      <c r="Y765" s="122"/>
    </row>
    <row r="766" spans="1:25" ht="15.75" customHeight="1" x14ac:dyDescent="0.2">
      <c r="A766" s="181"/>
      <c r="B766" s="174"/>
      <c r="C766" s="175"/>
      <c r="D766" s="175"/>
      <c r="E766" s="175"/>
      <c r="F766" s="122"/>
      <c r="G766" s="122"/>
      <c r="H766" s="122"/>
      <c r="I766" s="122"/>
      <c r="J766" s="173"/>
      <c r="K766" s="181"/>
      <c r="L766" s="122"/>
      <c r="M766" s="122"/>
      <c r="N766" s="122"/>
      <c r="O766" s="122"/>
      <c r="P766" s="122"/>
      <c r="Q766" s="122"/>
      <c r="R766" s="122"/>
      <c r="S766" s="122"/>
      <c r="T766" s="122"/>
      <c r="U766" s="122"/>
      <c r="V766" s="122"/>
      <c r="W766" s="122"/>
      <c r="X766" s="122"/>
      <c r="Y766" s="122"/>
    </row>
    <row r="767" spans="1:25" ht="15.75" customHeight="1" x14ac:dyDescent="0.2">
      <c r="A767" s="181"/>
      <c r="B767" s="174"/>
      <c r="C767" s="175"/>
      <c r="D767" s="175"/>
      <c r="E767" s="175"/>
      <c r="F767" s="122"/>
      <c r="G767" s="122"/>
      <c r="H767" s="122"/>
      <c r="I767" s="122"/>
      <c r="J767" s="173"/>
      <c r="K767" s="181"/>
      <c r="L767" s="122"/>
      <c r="M767" s="122"/>
      <c r="N767" s="122"/>
      <c r="O767" s="122"/>
      <c r="P767" s="122"/>
      <c r="Q767" s="122"/>
      <c r="R767" s="122"/>
      <c r="S767" s="122"/>
      <c r="T767" s="122"/>
      <c r="U767" s="122"/>
      <c r="V767" s="122"/>
      <c r="W767" s="122"/>
      <c r="X767" s="122"/>
      <c r="Y767" s="122"/>
    </row>
    <row r="768" spans="1:25" ht="15.75" customHeight="1" x14ac:dyDescent="0.2">
      <c r="A768" s="181"/>
      <c r="B768" s="174"/>
      <c r="C768" s="175"/>
      <c r="D768" s="175"/>
      <c r="E768" s="175"/>
      <c r="F768" s="122"/>
      <c r="G768" s="122"/>
      <c r="H768" s="122"/>
      <c r="I768" s="122"/>
      <c r="J768" s="173"/>
      <c r="K768" s="181"/>
      <c r="L768" s="122"/>
      <c r="M768" s="122"/>
      <c r="N768" s="122"/>
      <c r="O768" s="122"/>
      <c r="P768" s="122"/>
      <c r="Q768" s="122"/>
      <c r="R768" s="122"/>
      <c r="S768" s="122"/>
      <c r="T768" s="122"/>
      <c r="U768" s="122"/>
      <c r="V768" s="122"/>
      <c r="W768" s="122"/>
      <c r="X768" s="122"/>
      <c r="Y768" s="122"/>
    </row>
    <row r="769" spans="1:25" ht="15.75" customHeight="1" x14ac:dyDescent="0.2">
      <c r="A769" s="181"/>
      <c r="B769" s="174"/>
      <c r="C769" s="175"/>
      <c r="D769" s="175"/>
      <c r="E769" s="175"/>
      <c r="F769" s="122"/>
      <c r="G769" s="122"/>
      <c r="H769" s="122"/>
      <c r="I769" s="122"/>
      <c r="J769" s="173"/>
      <c r="K769" s="181"/>
      <c r="L769" s="122"/>
      <c r="M769" s="122"/>
      <c r="N769" s="122"/>
      <c r="O769" s="122"/>
      <c r="P769" s="122"/>
      <c r="Q769" s="122"/>
      <c r="R769" s="122"/>
      <c r="S769" s="122"/>
      <c r="T769" s="122"/>
      <c r="U769" s="122"/>
      <c r="V769" s="122"/>
      <c r="W769" s="122"/>
      <c r="X769" s="122"/>
      <c r="Y769" s="122"/>
    </row>
    <row r="770" spans="1:25" ht="15.75" customHeight="1" x14ac:dyDescent="0.2">
      <c r="A770" s="181"/>
      <c r="B770" s="174"/>
      <c r="C770" s="175"/>
      <c r="D770" s="175"/>
      <c r="E770" s="175"/>
      <c r="F770" s="122"/>
      <c r="G770" s="122"/>
      <c r="H770" s="122"/>
      <c r="I770" s="122"/>
      <c r="J770" s="173"/>
      <c r="K770" s="181"/>
      <c r="L770" s="122"/>
      <c r="M770" s="122"/>
      <c r="N770" s="122"/>
      <c r="O770" s="122"/>
      <c r="P770" s="122"/>
      <c r="Q770" s="122"/>
      <c r="R770" s="122"/>
      <c r="S770" s="122"/>
      <c r="T770" s="122"/>
      <c r="U770" s="122"/>
      <c r="V770" s="122"/>
      <c r="W770" s="122"/>
      <c r="X770" s="122"/>
      <c r="Y770" s="122"/>
    </row>
    <row r="771" spans="1:25" ht="15.75" customHeight="1" x14ac:dyDescent="0.2">
      <c r="A771" s="181"/>
      <c r="B771" s="174"/>
      <c r="C771" s="175"/>
      <c r="D771" s="175"/>
      <c r="E771" s="175"/>
      <c r="F771" s="122"/>
      <c r="G771" s="122"/>
      <c r="H771" s="122"/>
      <c r="I771" s="122"/>
      <c r="J771" s="173"/>
      <c r="K771" s="181"/>
      <c r="L771" s="122"/>
      <c r="M771" s="122"/>
      <c r="N771" s="122"/>
      <c r="O771" s="122"/>
      <c r="P771" s="122"/>
      <c r="Q771" s="122"/>
      <c r="R771" s="122"/>
      <c r="S771" s="122"/>
      <c r="T771" s="122"/>
      <c r="U771" s="122"/>
      <c r="V771" s="122"/>
      <c r="W771" s="122"/>
      <c r="X771" s="122"/>
      <c r="Y771" s="122"/>
    </row>
    <row r="772" spans="1:25" ht="15.75" customHeight="1" x14ac:dyDescent="0.2">
      <c r="A772" s="181"/>
      <c r="B772" s="174"/>
      <c r="C772" s="175"/>
      <c r="D772" s="175"/>
      <c r="E772" s="175"/>
      <c r="F772" s="122"/>
      <c r="G772" s="122"/>
      <c r="H772" s="122"/>
      <c r="I772" s="122"/>
      <c r="J772" s="173"/>
      <c r="K772" s="181"/>
      <c r="L772" s="122"/>
      <c r="M772" s="122"/>
      <c r="N772" s="122"/>
      <c r="O772" s="122"/>
      <c r="P772" s="122"/>
      <c r="Q772" s="122"/>
      <c r="R772" s="122"/>
      <c r="S772" s="122"/>
      <c r="T772" s="122"/>
      <c r="U772" s="122"/>
      <c r="V772" s="122"/>
      <c r="W772" s="122"/>
      <c r="X772" s="122"/>
      <c r="Y772" s="122"/>
    </row>
    <row r="773" spans="1:25" ht="15.75" customHeight="1" x14ac:dyDescent="0.2">
      <c r="A773" s="181"/>
      <c r="B773" s="174"/>
      <c r="C773" s="175"/>
      <c r="D773" s="175"/>
      <c r="E773" s="175"/>
      <c r="F773" s="122"/>
      <c r="G773" s="122"/>
      <c r="H773" s="122"/>
      <c r="I773" s="122"/>
      <c r="J773" s="173"/>
      <c r="K773" s="181"/>
      <c r="L773" s="122"/>
      <c r="M773" s="122"/>
      <c r="N773" s="122"/>
      <c r="O773" s="122"/>
      <c r="P773" s="122"/>
      <c r="Q773" s="122"/>
      <c r="R773" s="122"/>
      <c r="S773" s="122"/>
      <c r="T773" s="122"/>
      <c r="U773" s="122"/>
      <c r="V773" s="122"/>
      <c r="W773" s="122"/>
      <c r="X773" s="122"/>
      <c r="Y773" s="122"/>
    </row>
    <row r="774" spans="1:25" ht="15.75" customHeight="1" x14ac:dyDescent="0.2">
      <c r="A774" s="181"/>
      <c r="B774" s="174"/>
      <c r="C774" s="175"/>
      <c r="D774" s="175"/>
      <c r="E774" s="175"/>
      <c r="F774" s="122"/>
      <c r="G774" s="122"/>
      <c r="H774" s="122"/>
      <c r="I774" s="122"/>
      <c r="J774" s="173"/>
      <c r="K774" s="181"/>
      <c r="L774" s="122"/>
      <c r="M774" s="122"/>
      <c r="N774" s="122"/>
      <c r="O774" s="122"/>
      <c r="P774" s="122"/>
      <c r="Q774" s="122"/>
      <c r="R774" s="122"/>
      <c r="S774" s="122"/>
      <c r="T774" s="122"/>
      <c r="U774" s="122"/>
      <c r="V774" s="122"/>
      <c r="W774" s="122"/>
      <c r="X774" s="122"/>
      <c r="Y774" s="122"/>
    </row>
    <row r="775" spans="1:25" ht="15.75" customHeight="1" x14ac:dyDescent="0.2">
      <c r="A775" s="181"/>
      <c r="B775" s="174"/>
      <c r="C775" s="175"/>
      <c r="D775" s="175"/>
      <c r="E775" s="175"/>
      <c r="F775" s="122"/>
      <c r="G775" s="122"/>
      <c r="H775" s="122"/>
      <c r="I775" s="122"/>
      <c r="J775" s="173"/>
      <c r="K775" s="181"/>
      <c r="L775" s="122"/>
      <c r="M775" s="122"/>
      <c r="N775" s="122"/>
      <c r="O775" s="122"/>
      <c r="P775" s="122"/>
      <c r="Q775" s="122"/>
      <c r="R775" s="122"/>
      <c r="S775" s="122"/>
      <c r="T775" s="122"/>
      <c r="U775" s="122"/>
      <c r="V775" s="122"/>
      <c r="W775" s="122"/>
      <c r="X775" s="122"/>
      <c r="Y775" s="122"/>
    </row>
    <row r="776" spans="1:25" ht="15.75" customHeight="1" x14ac:dyDescent="0.2">
      <c r="A776" s="181"/>
      <c r="B776" s="174"/>
      <c r="C776" s="175"/>
      <c r="D776" s="175"/>
      <c r="E776" s="175"/>
      <c r="F776" s="122"/>
      <c r="G776" s="122"/>
      <c r="H776" s="122"/>
      <c r="I776" s="122"/>
      <c r="J776" s="173"/>
      <c r="K776" s="181"/>
      <c r="L776" s="122"/>
      <c r="M776" s="122"/>
      <c r="N776" s="122"/>
      <c r="O776" s="122"/>
      <c r="P776" s="122"/>
      <c r="Q776" s="122"/>
      <c r="R776" s="122"/>
      <c r="S776" s="122"/>
      <c r="T776" s="122"/>
      <c r="U776" s="122"/>
      <c r="V776" s="122"/>
      <c r="W776" s="122"/>
      <c r="X776" s="122"/>
      <c r="Y776" s="122"/>
    </row>
    <row r="777" spans="1:25" ht="15.75" customHeight="1" x14ac:dyDescent="0.2">
      <c r="A777" s="181"/>
      <c r="B777" s="174"/>
      <c r="C777" s="175"/>
      <c r="D777" s="175"/>
      <c r="E777" s="175"/>
      <c r="F777" s="122"/>
      <c r="G777" s="122"/>
      <c r="H777" s="122"/>
      <c r="I777" s="122"/>
      <c r="J777" s="173"/>
      <c r="K777" s="181"/>
      <c r="L777" s="122"/>
      <c r="M777" s="122"/>
      <c r="N777" s="122"/>
      <c r="O777" s="122"/>
      <c r="P777" s="122"/>
      <c r="Q777" s="122"/>
      <c r="R777" s="122"/>
      <c r="S777" s="122"/>
      <c r="T777" s="122"/>
      <c r="U777" s="122"/>
      <c r="V777" s="122"/>
      <c r="W777" s="122"/>
      <c r="X777" s="122"/>
      <c r="Y777" s="122"/>
    </row>
    <row r="778" spans="1:25" ht="15.75" customHeight="1" x14ac:dyDescent="0.2">
      <c r="A778" s="181"/>
      <c r="B778" s="174"/>
      <c r="C778" s="175"/>
      <c r="D778" s="175"/>
      <c r="E778" s="175"/>
      <c r="F778" s="122"/>
      <c r="G778" s="122"/>
      <c r="H778" s="122"/>
      <c r="I778" s="122"/>
      <c r="J778" s="173"/>
      <c r="K778" s="181"/>
      <c r="L778" s="122"/>
      <c r="M778" s="122"/>
      <c r="N778" s="122"/>
      <c r="O778" s="122"/>
      <c r="P778" s="122"/>
      <c r="Q778" s="122"/>
      <c r="R778" s="122"/>
      <c r="S778" s="122"/>
      <c r="T778" s="122"/>
      <c r="U778" s="122"/>
      <c r="V778" s="122"/>
      <c r="W778" s="122"/>
      <c r="X778" s="122"/>
      <c r="Y778" s="122"/>
    </row>
    <row r="779" spans="1:25" ht="15.75" customHeight="1" x14ac:dyDescent="0.2">
      <c r="A779" s="181"/>
      <c r="B779" s="174"/>
      <c r="C779" s="175"/>
      <c r="D779" s="175"/>
      <c r="E779" s="175"/>
      <c r="F779" s="122"/>
      <c r="G779" s="122"/>
      <c r="H779" s="122"/>
      <c r="I779" s="122"/>
      <c r="J779" s="173"/>
      <c r="K779" s="181"/>
      <c r="L779" s="122"/>
      <c r="M779" s="122"/>
      <c r="N779" s="122"/>
      <c r="O779" s="122"/>
      <c r="P779" s="122"/>
      <c r="Q779" s="122"/>
      <c r="R779" s="122"/>
      <c r="S779" s="122"/>
      <c r="T779" s="122"/>
      <c r="U779" s="122"/>
      <c r="V779" s="122"/>
      <c r="W779" s="122"/>
      <c r="X779" s="122"/>
      <c r="Y779" s="122"/>
    </row>
    <row r="780" spans="1:25" ht="15.75" customHeight="1" x14ac:dyDescent="0.2">
      <c r="A780" s="181"/>
      <c r="B780" s="174"/>
      <c r="C780" s="175"/>
      <c r="D780" s="175"/>
      <c r="E780" s="175"/>
      <c r="F780" s="122"/>
      <c r="G780" s="122"/>
      <c r="H780" s="122"/>
      <c r="I780" s="122"/>
      <c r="J780" s="173"/>
      <c r="K780" s="181"/>
      <c r="L780" s="122"/>
      <c r="M780" s="122"/>
      <c r="N780" s="122"/>
      <c r="O780" s="122"/>
      <c r="P780" s="122"/>
      <c r="Q780" s="122"/>
      <c r="R780" s="122"/>
      <c r="S780" s="122"/>
      <c r="T780" s="122"/>
      <c r="U780" s="122"/>
      <c r="V780" s="122"/>
      <c r="W780" s="122"/>
      <c r="X780" s="122"/>
      <c r="Y780" s="122"/>
    </row>
    <row r="781" spans="1:25" ht="15.75" customHeight="1" x14ac:dyDescent="0.2">
      <c r="A781" s="181"/>
      <c r="B781" s="174"/>
      <c r="C781" s="175"/>
      <c r="D781" s="175"/>
      <c r="E781" s="175"/>
      <c r="F781" s="122"/>
      <c r="G781" s="122"/>
      <c r="H781" s="122"/>
      <c r="I781" s="122"/>
      <c r="J781" s="173"/>
      <c r="K781" s="181"/>
      <c r="L781" s="122"/>
      <c r="M781" s="122"/>
      <c r="N781" s="122"/>
      <c r="O781" s="122"/>
      <c r="P781" s="122"/>
      <c r="Q781" s="122"/>
      <c r="R781" s="122"/>
      <c r="S781" s="122"/>
      <c r="T781" s="122"/>
      <c r="U781" s="122"/>
      <c r="V781" s="122"/>
      <c r="W781" s="122"/>
      <c r="X781" s="122"/>
      <c r="Y781" s="122"/>
    </row>
    <row r="782" spans="1:25" ht="15.75" customHeight="1" x14ac:dyDescent="0.2">
      <c r="A782" s="181"/>
      <c r="B782" s="174"/>
      <c r="C782" s="175"/>
      <c r="D782" s="175"/>
      <c r="E782" s="175"/>
      <c r="F782" s="122"/>
      <c r="G782" s="122"/>
      <c r="H782" s="122"/>
      <c r="I782" s="122"/>
      <c r="J782" s="173"/>
      <c r="K782" s="181"/>
      <c r="L782" s="122"/>
      <c r="M782" s="122"/>
      <c r="N782" s="122"/>
      <c r="O782" s="122"/>
      <c r="P782" s="122"/>
      <c r="Q782" s="122"/>
      <c r="R782" s="122"/>
      <c r="S782" s="122"/>
      <c r="T782" s="122"/>
      <c r="U782" s="122"/>
      <c r="V782" s="122"/>
      <c r="W782" s="122"/>
      <c r="X782" s="122"/>
      <c r="Y782" s="122"/>
    </row>
    <row r="783" spans="1:25" ht="15.75" customHeight="1" x14ac:dyDescent="0.2">
      <c r="A783" s="181"/>
      <c r="B783" s="174"/>
      <c r="C783" s="175"/>
      <c r="D783" s="175"/>
      <c r="E783" s="175"/>
      <c r="F783" s="122"/>
      <c r="G783" s="122"/>
      <c r="H783" s="122"/>
      <c r="I783" s="122"/>
      <c r="J783" s="173"/>
      <c r="K783" s="181"/>
      <c r="L783" s="122"/>
      <c r="M783" s="122"/>
      <c r="N783" s="122"/>
      <c r="O783" s="122"/>
      <c r="P783" s="122"/>
      <c r="Q783" s="122"/>
      <c r="R783" s="122"/>
      <c r="S783" s="122"/>
      <c r="T783" s="122"/>
      <c r="U783" s="122"/>
      <c r="V783" s="122"/>
      <c r="W783" s="122"/>
      <c r="X783" s="122"/>
      <c r="Y783" s="122"/>
    </row>
    <row r="784" spans="1:25" ht="15.75" customHeight="1" x14ac:dyDescent="0.2">
      <c r="A784" s="181"/>
      <c r="B784" s="174"/>
      <c r="C784" s="175"/>
      <c r="D784" s="175"/>
      <c r="E784" s="175"/>
      <c r="F784" s="122"/>
      <c r="G784" s="122"/>
      <c r="H784" s="122"/>
      <c r="I784" s="122"/>
      <c r="J784" s="173"/>
      <c r="K784" s="181"/>
      <c r="L784" s="122"/>
      <c r="M784" s="122"/>
      <c r="N784" s="122"/>
      <c r="O784" s="122"/>
      <c r="P784" s="122"/>
      <c r="Q784" s="122"/>
      <c r="R784" s="122"/>
      <c r="S784" s="122"/>
      <c r="T784" s="122"/>
      <c r="U784" s="122"/>
      <c r="V784" s="122"/>
      <c r="W784" s="122"/>
      <c r="X784" s="122"/>
      <c r="Y784" s="122"/>
    </row>
    <row r="785" spans="1:25" ht="15.75" customHeight="1" x14ac:dyDescent="0.2">
      <c r="A785" s="181"/>
      <c r="B785" s="174"/>
      <c r="C785" s="175"/>
      <c r="D785" s="175"/>
      <c r="E785" s="175"/>
      <c r="F785" s="122"/>
      <c r="G785" s="122"/>
      <c r="H785" s="122"/>
      <c r="I785" s="122"/>
      <c r="J785" s="173"/>
      <c r="K785" s="181"/>
      <c r="L785" s="122"/>
      <c r="M785" s="122"/>
      <c r="N785" s="122"/>
      <c r="O785" s="122"/>
      <c r="P785" s="122"/>
      <c r="Q785" s="122"/>
      <c r="R785" s="122"/>
      <c r="S785" s="122"/>
      <c r="T785" s="122"/>
      <c r="U785" s="122"/>
      <c r="V785" s="122"/>
      <c r="W785" s="122"/>
      <c r="X785" s="122"/>
      <c r="Y785" s="122"/>
    </row>
    <row r="786" spans="1:25" ht="15.75" customHeight="1" x14ac:dyDescent="0.2">
      <c r="A786" s="181"/>
      <c r="B786" s="174"/>
      <c r="C786" s="175"/>
      <c r="D786" s="175"/>
      <c r="E786" s="175"/>
      <c r="F786" s="122"/>
      <c r="G786" s="122"/>
      <c r="H786" s="122"/>
      <c r="I786" s="122"/>
      <c r="J786" s="173"/>
      <c r="K786" s="181"/>
      <c r="L786" s="122"/>
      <c r="M786" s="122"/>
      <c r="N786" s="122"/>
      <c r="O786" s="122"/>
      <c r="P786" s="122"/>
      <c r="Q786" s="122"/>
      <c r="R786" s="122"/>
      <c r="S786" s="122"/>
      <c r="T786" s="122"/>
      <c r="U786" s="122"/>
      <c r="V786" s="122"/>
      <c r="W786" s="122"/>
      <c r="X786" s="122"/>
      <c r="Y786" s="122"/>
    </row>
    <row r="787" spans="1:25" ht="15.75" customHeight="1" x14ac:dyDescent="0.2">
      <c r="A787" s="181"/>
      <c r="B787" s="174"/>
      <c r="C787" s="175"/>
      <c r="D787" s="175"/>
      <c r="E787" s="175"/>
      <c r="F787" s="122"/>
      <c r="G787" s="122"/>
      <c r="H787" s="122"/>
      <c r="I787" s="122"/>
      <c r="J787" s="173"/>
      <c r="K787" s="181"/>
      <c r="L787" s="122"/>
      <c r="M787" s="122"/>
      <c r="N787" s="122"/>
      <c r="O787" s="122"/>
      <c r="P787" s="122"/>
      <c r="Q787" s="122"/>
      <c r="R787" s="122"/>
      <c r="S787" s="122"/>
      <c r="T787" s="122"/>
      <c r="U787" s="122"/>
      <c r="V787" s="122"/>
      <c r="W787" s="122"/>
      <c r="X787" s="122"/>
      <c r="Y787" s="122"/>
    </row>
    <row r="788" spans="1:25" ht="15.75" customHeight="1" x14ac:dyDescent="0.2">
      <c r="A788" s="181"/>
      <c r="B788" s="174"/>
      <c r="C788" s="175"/>
      <c r="D788" s="175"/>
      <c r="E788" s="175"/>
      <c r="F788" s="122"/>
      <c r="G788" s="122"/>
      <c r="H788" s="122"/>
      <c r="I788" s="122"/>
      <c r="J788" s="173"/>
      <c r="K788" s="181"/>
      <c r="L788" s="122"/>
      <c r="M788" s="122"/>
      <c r="N788" s="122"/>
      <c r="O788" s="122"/>
      <c r="P788" s="122"/>
      <c r="Q788" s="122"/>
      <c r="R788" s="122"/>
      <c r="S788" s="122"/>
      <c r="T788" s="122"/>
      <c r="U788" s="122"/>
      <c r="V788" s="122"/>
      <c r="W788" s="122"/>
      <c r="X788" s="122"/>
      <c r="Y788" s="122"/>
    </row>
    <row r="789" spans="1:25" ht="15.75" customHeight="1" x14ac:dyDescent="0.2">
      <c r="A789" s="181"/>
      <c r="B789" s="174"/>
      <c r="C789" s="175"/>
      <c r="D789" s="175"/>
      <c r="E789" s="175"/>
      <c r="F789" s="122"/>
      <c r="G789" s="122"/>
      <c r="H789" s="122"/>
      <c r="I789" s="122"/>
      <c r="J789" s="173"/>
      <c r="K789" s="181"/>
      <c r="L789" s="122"/>
      <c r="M789" s="122"/>
      <c r="N789" s="122"/>
      <c r="O789" s="122"/>
      <c r="P789" s="122"/>
      <c r="Q789" s="122"/>
      <c r="R789" s="122"/>
      <c r="S789" s="122"/>
      <c r="T789" s="122"/>
      <c r="U789" s="122"/>
      <c r="V789" s="122"/>
      <c r="W789" s="122"/>
      <c r="X789" s="122"/>
      <c r="Y789" s="122"/>
    </row>
    <row r="790" spans="1:25" ht="15.75" customHeight="1" x14ac:dyDescent="0.2">
      <c r="A790" s="181"/>
      <c r="B790" s="174"/>
      <c r="C790" s="175"/>
      <c r="D790" s="175"/>
      <c r="E790" s="175"/>
      <c r="F790" s="122"/>
      <c r="G790" s="122"/>
      <c r="H790" s="122"/>
      <c r="I790" s="122"/>
      <c r="J790" s="173"/>
      <c r="K790" s="181"/>
      <c r="L790" s="122"/>
      <c r="M790" s="122"/>
      <c r="N790" s="122"/>
      <c r="O790" s="122"/>
      <c r="P790" s="122"/>
      <c r="Q790" s="122"/>
      <c r="R790" s="122"/>
      <c r="S790" s="122"/>
      <c r="T790" s="122"/>
      <c r="U790" s="122"/>
      <c r="V790" s="122"/>
      <c r="W790" s="122"/>
      <c r="X790" s="122"/>
      <c r="Y790" s="122"/>
    </row>
    <row r="791" spans="1:25" ht="15.75" customHeight="1" x14ac:dyDescent="0.2">
      <c r="A791" s="181"/>
      <c r="B791" s="174"/>
      <c r="C791" s="175"/>
      <c r="D791" s="175"/>
      <c r="E791" s="175"/>
      <c r="F791" s="122"/>
      <c r="G791" s="122"/>
      <c r="H791" s="122"/>
      <c r="I791" s="122"/>
      <c r="J791" s="173"/>
      <c r="K791" s="181"/>
      <c r="L791" s="122"/>
      <c r="M791" s="122"/>
      <c r="N791" s="122"/>
      <c r="O791" s="122"/>
      <c r="P791" s="122"/>
      <c r="Q791" s="122"/>
      <c r="R791" s="122"/>
      <c r="S791" s="122"/>
      <c r="T791" s="122"/>
      <c r="U791" s="122"/>
      <c r="V791" s="122"/>
      <c r="W791" s="122"/>
      <c r="X791" s="122"/>
      <c r="Y791" s="122"/>
    </row>
    <row r="792" spans="1:25" ht="15.75" customHeight="1" x14ac:dyDescent="0.2">
      <c r="A792" s="181"/>
      <c r="B792" s="174"/>
      <c r="C792" s="175"/>
      <c r="D792" s="175"/>
      <c r="E792" s="175"/>
      <c r="F792" s="122"/>
      <c r="G792" s="122"/>
      <c r="H792" s="122"/>
      <c r="I792" s="122"/>
      <c r="J792" s="173"/>
      <c r="K792" s="181"/>
      <c r="L792" s="122"/>
      <c r="M792" s="122"/>
      <c r="N792" s="122"/>
      <c r="O792" s="122"/>
      <c r="P792" s="122"/>
      <c r="Q792" s="122"/>
      <c r="R792" s="122"/>
      <c r="S792" s="122"/>
      <c r="T792" s="122"/>
      <c r="U792" s="122"/>
      <c r="V792" s="122"/>
      <c r="W792" s="122"/>
      <c r="X792" s="122"/>
      <c r="Y792" s="122"/>
    </row>
    <row r="793" spans="1:25" ht="15.75" customHeight="1" x14ac:dyDescent="0.2">
      <c r="A793" s="181"/>
      <c r="B793" s="174"/>
      <c r="C793" s="175"/>
      <c r="D793" s="175"/>
      <c r="E793" s="175"/>
      <c r="F793" s="122"/>
      <c r="G793" s="122"/>
      <c r="H793" s="122"/>
      <c r="I793" s="122"/>
      <c r="J793" s="173"/>
      <c r="K793" s="181"/>
      <c r="L793" s="122"/>
      <c r="M793" s="122"/>
      <c r="N793" s="122"/>
      <c r="O793" s="122"/>
      <c r="P793" s="122"/>
      <c r="Q793" s="122"/>
      <c r="R793" s="122"/>
      <c r="S793" s="122"/>
      <c r="T793" s="122"/>
      <c r="U793" s="122"/>
      <c r="V793" s="122"/>
      <c r="W793" s="122"/>
      <c r="X793" s="122"/>
      <c r="Y793" s="122"/>
    </row>
    <row r="794" spans="1:25" ht="15.75" customHeight="1" x14ac:dyDescent="0.2">
      <c r="A794" s="181"/>
      <c r="B794" s="174"/>
      <c r="C794" s="175"/>
      <c r="D794" s="175"/>
      <c r="E794" s="175"/>
      <c r="F794" s="122"/>
      <c r="G794" s="122"/>
      <c r="H794" s="122"/>
      <c r="I794" s="122"/>
      <c r="J794" s="173"/>
      <c r="K794" s="181"/>
      <c r="L794" s="122"/>
      <c r="M794" s="122"/>
      <c r="N794" s="122"/>
      <c r="O794" s="122"/>
      <c r="P794" s="122"/>
      <c r="Q794" s="122"/>
      <c r="R794" s="122"/>
      <c r="S794" s="122"/>
      <c r="T794" s="122"/>
      <c r="U794" s="122"/>
      <c r="V794" s="122"/>
      <c r="W794" s="122"/>
      <c r="X794" s="122"/>
      <c r="Y794" s="122"/>
    </row>
    <row r="795" spans="1:25" ht="15.75" customHeight="1" x14ac:dyDescent="0.2">
      <c r="A795" s="181"/>
      <c r="B795" s="174"/>
      <c r="C795" s="175"/>
      <c r="D795" s="175"/>
      <c r="E795" s="175"/>
      <c r="F795" s="122"/>
      <c r="G795" s="122"/>
      <c r="H795" s="122"/>
      <c r="I795" s="122"/>
      <c r="J795" s="173"/>
      <c r="K795" s="181"/>
      <c r="L795" s="122"/>
      <c r="M795" s="122"/>
      <c r="N795" s="122"/>
      <c r="O795" s="122"/>
      <c r="P795" s="122"/>
      <c r="Q795" s="122"/>
      <c r="R795" s="122"/>
      <c r="S795" s="122"/>
      <c r="T795" s="122"/>
      <c r="U795" s="122"/>
      <c r="V795" s="122"/>
      <c r="W795" s="122"/>
      <c r="X795" s="122"/>
      <c r="Y795" s="122"/>
    </row>
    <row r="796" spans="1:25" ht="15.75" customHeight="1" x14ac:dyDescent="0.2">
      <c r="A796" s="181"/>
      <c r="B796" s="174"/>
      <c r="C796" s="175"/>
      <c r="D796" s="175"/>
      <c r="E796" s="175"/>
      <c r="F796" s="122"/>
      <c r="G796" s="122"/>
      <c r="H796" s="122"/>
      <c r="I796" s="122"/>
      <c r="J796" s="173"/>
      <c r="K796" s="181"/>
      <c r="L796" s="122"/>
      <c r="M796" s="122"/>
      <c r="N796" s="122"/>
      <c r="O796" s="122"/>
      <c r="P796" s="122"/>
      <c r="Q796" s="122"/>
      <c r="R796" s="122"/>
      <c r="S796" s="122"/>
      <c r="T796" s="122"/>
      <c r="U796" s="122"/>
      <c r="V796" s="122"/>
      <c r="W796" s="122"/>
      <c r="X796" s="122"/>
      <c r="Y796" s="122"/>
    </row>
    <row r="797" spans="1:25" ht="15.75" customHeight="1" x14ac:dyDescent="0.2">
      <c r="A797" s="181"/>
      <c r="B797" s="174"/>
      <c r="C797" s="175"/>
      <c r="D797" s="175"/>
      <c r="E797" s="175"/>
      <c r="F797" s="122"/>
      <c r="G797" s="122"/>
      <c r="H797" s="122"/>
      <c r="I797" s="122"/>
      <c r="J797" s="173"/>
      <c r="K797" s="181"/>
      <c r="L797" s="122"/>
      <c r="M797" s="122"/>
      <c r="N797" s="122"/>
      <c r="O797" s="122"/>
      <c r="P797" s="122"/>
      <c r="Q797" s="122"/>
      <c r="R797" s="122"/>
      <c r="S797" s="122"/>
      <c r="T797" s="122"/>
      <c r="U797" s="122"/>
      <c r="V797" s="122"/>
      <c r="W797" s="122"/>
      <c r="X797" s="122"/>
      <c r="Y797" s="122"/>
    </row>
    <row r="798" spans="1:25" ht="15.75" customHeight="1" x14ac:dyDescent="0.2">
      <c r="A798" s="181"/>
      <c r="B798" s="174"/>
      <c r="C798" s="175"/>
      <c r="D798" s="175"/>
      <c r="E798" s="175"/>
      <c r="F798" s="122"/>
      <c r="G798" s="122"/>
      <c r="H798" s="122"/>
      <c r="I798" s="122"/>
      <c r="J798" s="173"/>
      <c r="K798" s="181"/>
      <c r="L798" s="122"/>
      <c r="M798" s="122"/>
      <c r="N798" s="122"/>
      <c r="O798" s="122"/>
      <c r="P798" s="122"/>
      <c r="Q798" s="122"/>
      <c r="R798" s="122"/>
      <c r="S798" s="122"/>
      <c r="T798" s="122"/>
      <c r="U798" s="122"/>
      <c r="V798" s="122"/>
      <c r="W798" s="122"/>
      <c r="X798" s="122"/>
      <c r="Y798" s="122"/>
    </row>
    <row r="799" spans="1:25" ht="15.75" customHeight="1" x14ac:dyDescent="0.2">
      <c r="A799" s="181"/>
      <c r="B799" s="174"/>
      <c r="C799" s="175"/>
      <c r="D799" s="175"/>
      <c r="E799" s="175"/>
      <c r="F799" s="122"/>
      <c r="G799" s="122"/>
      <c r="H799" s="122"/>
      <c r="I799" s="122"/>
      <c r="J799" s="173"/>
      <c r="K799" s="181"/>
      <c r="L799" s="122"/>
      <c r="M799" s="122"/>
      <c r="N799" s="122"/>
      <c r="O799" s="122"/>
      <c r="P799" s="122"/>
      <c r="Q799" s="122"/>
      <c r="R799" s="122"/>
      <c r="S799" s="122"/>
      <c r="T799" s="122"/>
      <c r="U799" s="122"/>
      <c r="V799" s="122"/>
      <c r="W799" s="122"/>
      <c r="X799" s="122"/>
      <c r="Y799" s="122"/>
    </row>
    <row r="800" spans="1:25" ht="15.75" customHeight="1" x14ac:dyDescent="0.2">
      <c r="A800" s="181"/>
      <c r="B800" s="174"/>
      <c r="C800" s="175"/>
      <c r="D800" s="175"/>
      <c r="E800" s="175"/>
      <c r="F800" s="122"/>
      <c r="G800" s="122"/>
      <c r="H800" s="122"/>
      <c r="I800" s="122"/>
      <c r="J800" s="173"/>
      <c r="K800" s="181"/>
      <c r="L800" s="122"/>
      <c r="M800" s="122"/>
      <c r="N800" s="122"/>
      <c r="O800" s="122"/>
      <c r="P800" s="122"/>
      <c r="Q800" s="122"/>
      <c r="R800" s="122"/>
      <c r="S800" s="122"/>
      <c r="T800" s="122"/>
      <c r="U800" s="122"/>
      <c r="V800" s="122"/>
      <c r="W800" s="122"/>
      <c r="X800" s="122"/>
      <c r="Y800" s="122"/>
    </row>
    <row r="801" spans="1:25" ht="15.75" customHeight="1" x14ac:dyDescent="0.2">
      <c r="A801" s="181"/>
      <c r="B801" s="174"/>
      <c r="C801" s="175"/>
      <c r="D801" s="175"/>
      <c r="E801" s="175"/>
      <c r="F801" s="122"/>
      <c r="G801" s="122"/>
      <c r="H801" s="122"/>
      <c r="I801" s="122"/>
      <c r="J801" s="173"/>
      <c r="K801" s="181"/>
      <c r="L801" s="122"/>
      <c r="M801" s="122"/>
      <c r="N801" s="122"/>
      <c r="O801" s="122"/>
      <c r="P801" s="122"/>
      <c r="Q801" s="122"/>
      <c r="R801" s="122"/>
      <c r="S801" s="122"/>
      <c r="T801" s="122"/>
      <c r="U801" s="122"/>
      <c r="V801" s="122"/>
      <c r="W801" s="122"/>
      <c r="X801" s="122"/>
      <c r="Y801" s="122"/>
    </row>
    <row r="802" spans="1:25" ht="15.75" customHeight="1" x14ac:dyDescent="0.2">
      <c r="A802" s="181"/>
      <c r="B802" s="174"/>
      <c r="C802" s="175"/>
      <c r="D802" s="175"/>
      <c r="E802" s="175"/>
      <c r="F802" s="122"/>
      <c r="G802" s="122"/>
      <c r="H802" s="122"/>
      <c r="I802" s="122"/>
      <c r="J802" s="173"/>
      <c r="K802" s="181"/>
      <c r="L802" s="122"/>
      <c r="M802" s="122"/>
      <c r="N802" s="122"/>
      <c r="O802" s="122"/>
      <c r="P802" s="122"/>
      <c r="Q802" s="122"/>
      <c r="R802" s="122"/>
      <c r="S802" s="122"/>
      <c r="T802" s="122"/>
      <c r="U802" s="122"/>
      <c r="V802" s="122"/>
      <c r="W802" s="122"/>
      <c r="X802" s="122"/>
      <c r="Y802" s="122"/>
    </row>
    <row r="803" spans="1:25" ht="15.75" customHeight="1" x14ac:dyDescent="0.2">
      <c r="A803" s="181"/>
      <c r="B803" s="174"/>
      <c r="C803" s="175"/>
      <c r="D803" s="175"/>
      <c r="E803" s="175"/>
      <c r="F803" s="122"/>
      <c r="G803" s="122"/>
      <c r="H803" s="122"/>
      <c r="I803" s="122"/>
      <c r="J803" s="173"/>
      <c r="K803" s="181"/>
      <c r="L803" s="122"/>
      <c r="M803" s="122"/>
      <c r="N803" s="122"/>
      <c r="O803" s="122"/>
      <c r="P803" s="122"/>
      <c r="Q803" s="122"/>
      <c r="R803" s="122"/>
      <c r="S803" s="122"/>
      <c r="T803" s="122"/>
      <c r="U803" s="122"/>
      <c r="V803" s="122"/>
      <c r="W803" s="122"/>
      <c r="X803" s="122"/>
      <c r="Y803" s="122"/>
    </row>
    <row r="804" spans="1:25" ht="15.75" customHeight="1" x14ac:dyDescent="0.2">
      <c r="A804" s="181"/>
      <c r="B804" s="174"/>
      <c r="C804" s="175"/>
      <c r="D804" s="175"/>
      <c r="E804" s="175"/>
      <c r="F804" s="122"/>
      <c r="G804" s="122"/>
      <c r="H804" s="122"/>
      <c r="I804" s="122"/>
      <c r="J804" s="173"/>
      <c r="K804" s="181"/>
      <c r="L804" s="122"/>
      <c r="M804" s="122"/>
      <c r="N804" s="122"/>
      <c r="O804" s="122"/>
      <c r="P804" s="122"/>
      <c r="Q804" s="122"/>
      <c r="R804" s="122"/>
      <c r="S804" s="122"/>
      <c r="T804" s="122"/>
      <c r="U804" s="122"/>
      <c r="V804" s="122"/>
      <c r="W804" s="122"/>
      <c r="X804" s="122"/>
      <c r="Y804" s="122"/>
    </row>
    <row r="805" spans="1:25" ht="15.75" customHeight="1" x14ac:dyDescent="0.2">
      <c r="A805" s="181"/>
      <c r="B805" s="174"/>
      <c r="C805" s="175"/>
      <c r="D805" s="175"/>
      <c r="E805" s="175"/>
      <c r="F805" s="122"/>
      <c r="G805" s="122"/>
      <c r="H805" s="122"/>
      <c r="I805" s="122"/>
      <c r="J805" s="173"/>
      <c r="K805" s="181"/>
      <c r="L805" s="122"/>
      <c r="M805" s="122"/>
      <c r="N805" s="122"/>
      <c r="O805" s="122"/>
      <c r="P805" s="122"/>
      <c r="Q805" s="122"/>
      <c r="R805" s="122"/>
      <c r="S805" s="122"/>
      <c r="T805" s="122"/>
      <c r="U805" s="122"/>
      <c r="V805" s="122"/>
      <c r="W805" s="122"/>
      <c r="X805" s="122"/>
      <c r="Y805" s="122"/>
    </row>
    <row r="806" spans="1:25" ht="15.75" customHeight="1" x14ac:dyDescent="0.2">
      <c r="A806" s="181"/>
      <c r="B806" s="174"/>
      <c r="C806" s="175"/>
      <c r="D806" s="175"/>
      <c r="E806" s="175"/>
      <c r="F806" s="122"/>
      <c r="G806" s="122"/>
      <c r="H806" s="122"/>
      <c r="I806" s="122"/>
      <c r="J806" s="173"/>
      <c r="K806" s="181"/>
      <c r="L806" s="122"/>
      <c r="M806" s="122"/>
      <c r="N806" s="122"/>
      <c r="O806" s="122"/>
      <c r="P806" s="122"/>
      <c r="Q806" s="122"/>
      <c r="R806" s="122"/>
      <c r="S806" s="122"/>
      <c r="T806" s="122"/>
      <c r="U806" s="122"/>
      <c r="V806" s="122"/>
      <c r="W806" s="122"/>
      <c r="X806" s="122"/>
      <c r="Y806" s="122"/>
    </row>
    <row r="807" spans="1:25" ht="15.75" customHeight="1" x14ac:dyDescent="0.2">
      <c r="A807" s="181"/>
      <c r="B807" s="174"/>
      <c r="C807" s="175"/>
      <c r="D807" s="175"/>
      <c r="E807" s="175"/>
      <c r="F807" s="122"/>
      <c r="G807" s="122"/>
      <c r="H807" s="122"/>
      <c r="I807" s="122"/>
      <c r="J807" s="173"/>
      <c r="K807" s="181"/>
      <c r="L807" s="122"/>
      <c r="M807" s="122"/>
      <c r="N807" s="122"/>
      <c r="O807" s="122"/>
      <c r="P807" s="122"/>
      <c r="Q807" s="122"/>
      <c r="R807" s="122"/>
      <c r="S807" s="122"/>
      <c r="T807" s="122"/>
      <c r="U807" s="122"/>
      <c r="V807" s="122"/>
      <c r="W807" s="122"/>
      <c r="X807" s="122"/>
      <c r="Y807" s="122"/>
    </row>
    <row r="808" spans="1:25" ht="15.75" customHeight="1" x14ac:dyDescent="0.2">
      <c r="A808" s="181"/>
      <c r="B808" s="174"/>
      <c r="C808" s="175"/>
      <c r="D808" s="175"/>
      <c r="E808" s="175"/>
      <c r="F808" s="122"/>
      <c r="G808" s="122"/>
      <c r="H808" s="122"/>
      <c r="I808" s="122"/>
      <c r="J808" s="173"/>
      <c r="K808" s="181"/>
      <c r="L808" s="122"/>
      <c r="M808" s="122"/>
      <c r="N808" s="122"/>
      <c r="O808" s="122"/>
      <c r="P808" s="122"/>
      <c r="Q808" s="122"/>
      <c r="R808" s="122"/>
      <c r="S808" s="122"/>
      <c r="T808" s="122"/>
      <c r="U808" s="122"/>
      <c r="V808" s="122"/>
      <c r="W808" s="122"/>
      <c r="X808" s="122"/>
      <c r="Y808" s="122"/>
    </row>
    <row r="809" spans="1:25" ht="15.75" customHeight="1" x14ac:dyDescent="0.2">
      <c r="A809" s="181"/>
      <c r="B809" s="174"/>
      <c r="C809" s="175"/>
      <c r="D809" s="175"/>
      <c r="E809" s="175"/>
      <c r="F809" s="122"/>
      <c r="G809" s="122"/>
      <c r="H809" s="122"/>
      <c r="I809" s="122"/>
      <c r="J809" s="173"/>
      <c r="K809" s="181"/>
      <c r="L809" s="122"/>
      <c r="M809" s="122"/>
      <c r="N809" s="122"/>
      <c r="O809" s="122"/>
      <c r="P809" s="122"/>
      <c r="Q809" s="122"/>
      <c r="R809" s="122"/>
      <c r="S809" s="122"/>
      <c r="T809" s="122"/>
      <c r="U809" s="122"/>
      <c r="V809" s="122"/>
      <c r="W809" s="122"/>
      <c r="X809" s="122"/>
      <c r="Y809" s="122"/>
    </row>
    <row r="810" spans="1:25" ht="15.75" customHeight="1" x14ac:dyDescent="0.2">
      <c r="A810" s="181"/>
      <c r="B810" s="174"/>
      <c r="C810" s="175"/>
      <c r="D810" s="175"/>
      <c r="E810" s="175"/>
      <c r="F810" s="122"/>
      <c r="G810" s="122"/>
      <c r="H810" s="122"/>
      <c r="I810" s="122"/>
      <c r="J810" s="173"/>
      <c r="K810" s="181"/>
      <c r="L810" s="122"/>
      <c r="M810" s="122"/>
      <c r="N810" s="122"/>
      <c r="O810" s="122"/>
      <c r="P810" s="122"/>
      <c r="Q810" s="122"/>
      <c r="R810" s="122"/>
      <c r="S810" s="122"/>
      <c r="T810" s="122"/>
      <c r="U810" s="122"/>
      <c r="V810" s="122"/>
      <c r="W810" s="122"/>
      <c r="X810" s="122"/>
      <c r="Y810" s="122"/>
    </row>
    <row r="811" spans="1:25" ht="15.75" customHeight="1" x14ac:dyDescent="0.2">
      <c r="A811" s="181"/>
      <c r="B811" s="174"/>
      <c r="C811" s="175"/>
      <c r="D811" s="175"/>
      <c r="E811" s="175"/>
      <c r="F811" s="122"/>
      <c r="G811" s="122"/>
      <c r="H811" s="122"/>
      <c r="I811" s="122"/>
      <c r="J811" s="173"/>
      <c r="K811" s="181"/>
      <c r="L811" s="122"/>
      <c r="M811" s="122"/>
      <c r="N811" s="122"/>
      <c r="O811" s="122"/>
      <c r="P811" s="122"/>
      <c r="Q811" s="122"/>
      <c r="R811" s="122"/>
      <c r="S811" s="122"/>
      <c r="T811" s="122"/>
      <c r="U811" s="122"/>
      <c r="V811" s="122"/>
      <c r="W811" s="122"/>
      <c r="X811" s="122"/>
      <c r="Y811" s="122"/>
    </row>
    <row r="812" spans="1:25" ht="15.75" customHeight="1" x14ac:dyDescent="0.2">
      <c r="A812" s="181"/>
      <c r="B812" s="174"/>
      <c r="C812" s="175"/>
      <c r="D812" s="175"/>
      <c r="E812" s="175"/>
      <c r="F812" s="122"/>
      <c r="G812" s="122"/>
      <c r="H812" s="122"/>
      <c r="I812" s="122"/>
      <c r="J812" s="173"/>
      <c r="K812" s="181"/>
      <c r="L812" s="122"/>
      <c r="M812" s="122"/>
      <c r="N812" s="122"/>
      <c r="O812" s="122"/>
      <c r="P812" s="122"/>
      <c r="Q812" s="122"/>
      <c r="R812" s="122"/>
      <c r="S812" s="122"/>
      <c r="T812" s="122"/>
      <c r="U812" s="122"/>
      <c r="V812" s="122"/>
      <c r="W812" s="122"/>
      <c r="X812" s="122"/>
      <c r="Y812" s="122"/>
    </row>
    <row r="813" spans="1:25" ht="15.75" customHeight="1" x14ac:dyDescent="0.2">
      <c r="A813" s="181"/>
      <c r="B813" s="174"/>
      <c r="C813" s="175"/>
      <c r="D813" s="175"/>
      <c r="E813" s="175"/>
      <c r="F813" s="122"/>
      <c r="G813" s="122"/>
      <c r="H813" s="122"/>
      <c r="I813" s="122"/>
      <c r="J813" s="173"/>
      <c r="K813" s="181"/>
      <c r="L813" s="122"/>
      <c r="M813" s="122"/>
      <c r="N813" s="122"/>
      <c r="O813" s="122"/>
      <c r="P813" s="122"/>
      <c r="Q813" s="122"/>
      <c r="R813" s="122"/>
      <c r="S813" s="122"/>
      <c r="T813" s="122"/>
      <c r="U813" s="122"/>
      <c r="V813" s="122"/>
      <c r="W813" s="122"/>
      <c r="X813" s="122"/>
      <c r="Y813" s="122"/>
    </row>
    <row r="814" spans="1:25" ht="15.75" customHeight="1" x14ac:dyDescent="0.2">
      <c r="A814" s="181"/>
      <c r="B814" s="174"/>
      <c r="C814" s="175"/>
      <c r="D814" s="175"/>
      <c r="E814" s="175"/>
      <c r="F814" s="122"/>
      <c r="G814" s="122"/>
      <c r="H814" s="122"/>
      <c r="I814" s="122"/>
      <c r="J814" s="173"/>
      <c r="K814" s="181"/>
      <c r="L814" s="122"/>
      <c r="M814" s="122"/>
      <c r="N814" s="122"/>
      <c r="O814" s="122"/>
      <c r="P814" s="122"/>
      <c r="Q814" s="122"/>
      <c r="R814" s="122"/>
      <c r="S814" s="122"/>
      <c r="T814" s="122"/>
      <c r="U814" s="122"/>
      <c r="V814" s="122"/>
      <c r="W814" s="122"/>
      <c r="X814" s="122"/>
      <c r="Y814" s="122"/>
    </row>
    <row r="815" spans="1:25" ht="15.75" customHeight="1" x14ac:dyDescent="0.2">
      <c r="A815" s="181"/>
      <c r="B815" s="174"/>
      <c r="C815" s="175"/>
      <c r="D815" s="175"/>
      <c r="E815" s="175"/>
      <c r="F815" s="122"/>
      <c r="G815" s="122"/>
      <c r="H815" s="122"/>
      <c r="I815" s="122"/>
      <c r="J815" s="173"/>
      <c r="K815" s="181"/>
      <c r="L815" s="122"/>
      <c r="M815" s="122"/>
      <c r="N815" s="122"/>
      <c r="O815" s="122"/>
      <c r="P815" s="122"/>
      <c r="Q815" s="122"/>
      <c r="R815" s="122"/>
      <c r="S815" s="122"/>
      <c r="T815" s="122"/>
      <c r="U815" s="122"/>
      <c r="V815" s="122"/>
      <c r="W815" s="122"/>
      <c r="X815" s="122"/>
      <c r="Y815" s="122"/>
    </row>
    <row r="816" spans="1:25" ht="15.75" customHeight="1" x14ac:dyDescent="0.2">
      <c r="A816" s="181"/>
      <c r="B816" s="174"/>
      <c r="C816" s="175"/>
      <c r="D816" s="175"/>
      <c r="E816" s="175"/>
      <c r="F816" s="122"/>
      <c r="G816" s="122"/>
      <c r="H816" s="122"/>
      <c r="I816" s="122"/>
      <c r="J816" s="173"/>
      <c r="K816" s="181"/>
      <c r="L816" s="122"/>
      <c r="M816" s="122"/>
      <c r="N816" s="122"/>
      <c r="O816" s="122"/>
      <c r="P816" s="122"/>
      <c r="Q816" s="122"/>
      <c r="R816" s="122"/>
      <c r="S816" s="122"/>
      <c r="T816" s="122"/>
      <c r="U816" s="122"/>
      <c r="V816" s="122"/>
      <c r="W816" s="122"/>
      <c r="X816" s="122"/>
      <c r="Y816" s="122"/>
    </row>
    <row r="817" spans="1:25" ht="15.75" customHeight="1" x14ac:dyDescent="0.2">
      <c r="A817" s="181"/>
      <c r="B817" s="174"/>
      <c r="C817" s="175"/>
      <c r="D817" s="175"/>
      <c r="E817" s="175"/>
      <c r="F817" s="122"/>
      <c r="G817" s="122"/>
      <c r="H817" s="122"/>
      <c r="I817" s="122"/>
      <c r="J817" s="173"/>
      <c r="K817" s="181"/>
      <c r="L817" s="122"/>
      <c r="M817" s="122"/>
      <c r="N817" s="122"/>
      <c r="O817" s="122"/>
      <c r="P817" s="122"/>
      <c r="Q817" s="122"/>
      <c r="R817" s="122"/>
      <c r="S817" s="122"/>
      <c r="T817" s="122"/>
      <c r="U817" s="122"/>
      <c r="V817" s="122"/>
      <c r="W817" s="122"/>
      <c r="X817" s="122"/>
      <c r="Y817" s="122"/>
    </row>
    <row r="818" spans="1:25" ht="15.75" customHeight="1" x14ac:dyDescent="0.2">
      <c r="A818" s="181"/>
      <c r="B818" s="174"/>
      <c r="C818" s="175"/>
      <c r="D818" s="175"/>
      <c r="E818" s="175"/>
      <c r="F818" s="122"/>
      <c r="G818" s="122"/>
      <c r="H818" s="122"/>
      <c r="I818" s="122"/>
      <c r="J818" s="173"/>
      <c r="K818" s="181"/>
      <c r="L818" s="122"/>
      <c r="M818" s="122"/>
      <c r="N818" s="122"/>
      <c r="O818" s="122"/>
      <c r="P818" s="122"/>
      <c r="Q818" s="122"/>
      <c r="R818" s="122"/>
      <c r="S818" s="122"/>
      <c r="T818" s="122"/>
      <c r="U818" s="122"/>
      <c r="V818" s="122"/>
      <c r="W818" s="122"/>
      <c r="X818" s="122"/>
      <c r="Y818" s="122"/>
    </row>
    <row r="819" spans="1:25" ht="15.75" customHeight="1" x14ac:dyDescent="0.2">
      <c r="A819" s="181"/>
      <c r="B819" s="174"/>
      <c r="C819" s="175"/>
      <c r="D819" s="175"/>
      <c r="E819" s="175"/>
      <c r="F819" s="122"/>
      <c r="G819" s="122"/>
      <c r="H819" s="122"/>
      <c r="I819" s="122"/>
      <c r="J819" s="173"/>
      <c r="K819" s="181"/>
      <c r="L819" s="122"/>
      <c r="M819" s="122"/>
      <c r="N819" s="122"/>
      <c r="O819" s="122"/>
      <c r="P819" s="122"/>
      <c r="Q819" s="122"/>
      <c r="R819" s="122"/>
      <c r="S819" s="122"/>
      <c r="T819" s="122"/>
      <c r="U819" s="122"/>
      <c r="V819" s="122"/>
      <c r="W819" s="122"/>
      <c r="X819" s="122"/>
      <c r="Y819" s="122"/>
    </row>
    <row r="820" spans="1:25" ht="15.75" customHeight="1" x14ac:dyDescent="0.2">
      <c r="A820" s="181"/>
      <c r="B820" s="174"/>
      <c r="C820" s="175"/>
      <c r="D820" s="175"/>
      <c r="E820" s="175"/>
      <c r="F820" s="122"/>
      <c r="G820" s="122"/>
      <c r="H820" s="122"/>
      <c r="I820" s="122"/>
      <c r="J820" s="173"/>
      <c r="K820" s="181"/>
      <c r="L820" s="122"/>
      <c r="M820" s="122"/>
      <c r="N820" s="122"/>
      <c r="O820" s="122"/>
      <c r="P820" s="122"/>
      <c r="Q820" s="122"/>
      <c r="R820" s="122"/>
      <c r="S820" s="122"/>
      <c r="T820" s="122"/>
      <c r="U820" s="122"/>
      <c r="V820" s="122"/>
      <c r="W820" s="122"/>
      <c r="X820" s="122"/>
      <c r="Y820" s="122"/>
    </row>
    <row r="821" spans="1:25" ht="15.75" customHeight="1" x14ac:dyDescent="0.2">
      <c r="A821" s="181"/>
      <c r="B821" s="174"/>
      <c r="C821" s="175"/>
      <c r="D821" s="175"/>
      <c r="E821" s="175"/>
      <c r="F821" s="122"/>
      <c r="G821" s="122"/>
      <c r="H821" s="122"/>
      <c r="I821" s="122"/>
      <c r="J821" s="173"/>
      <c r="K821" s="181"/>
      <c r="L821" s="122"/>
      <c r="M821" s="122"/>
      <c r="N821" s="122"/>
      <c r="O821" s="122"/>
      <c r="P821" s="122"/>
      <c r="Q821" s="122"/>
      <c r="R821" s="122"/>
      <c r="S821" s="122"/>
      <c r="T821" s="122"/>
      <c r="U821" s="122"/>
      <c r="V821" s="122"/>
      <c r="W821" s="122"/>
      <c r="X821" s="122"/>
      <c r="Y821" s="122"/>
    </row>
    <row r="822" spans="1:25" ht="15.75" customHeight="1" x14ac:dyDescent="0.2">
      <c r="A822" s="181"/>
      <c r="B822" s="174"/>
      <c r="C822" s="175"/>
      <c r="D822" s="175"/>
      <c r="E822" s="175"/>
      <c r="F822" s="122"/>
      <c r="G822" s="122"/>
      <c r="H822" s="122"/>
      <c r="I822" s="122"/>
      <c r="J822" s="173"/>
      <c r="K822" s="181"/>
      <c r="L822" s="122"/>
      <c r="M822" s="122"/>
      <c r="N822" s="122"/>
      <c r="O822" s="122"/>
      <c r="P822" s="122"/>
      <c r="Q822" s="122"/>
      <c r="R822" s="122"/>
      <c r="S822" s="122"/>
      <c r="T822" s="122"/>
      <c r="U822" s="122"/>
      <c r="V822" s="122"/>
      <c r="W822" s="122"/>
      <c r="X822" s="122"/>
      <c r="Y822" s="122"/>
    </row>
    <row r="823" spans="1:25" ht="15.75" customHeight="1" x14ac:dyDescent="0.2">
      <c r="A823" s="181"/>
      <c r="B823" s="174"/>
      <c r="C823" s="175"/>
      <c r="D823" s="175"/>
      <c r="E823" s="175"/>
      <c r="F823" s="122"/>
      <c r="G823" s="122"/>
      <c r="H823" s="122"/>
      <c r="I823" s="122"/>
      <c r="J823" s="173"/>
      <c r="K823" s="181"/>
      <c r="L823" s="122"/>
      <c r="M823" s="122"/>
      <c r="N823" s="122"/>
      <c r="O823" s="122"/>
      <c r="P823" s="122"/>
      <c r="Q823" s="122"/>
      <c r="R823" s="122"/>
      <c r="S823" s="122"/>
      <c r="T823" s="122"/>
      <c r="U823" s="122"/>
      <c r="V823" s="122"/>
      <c r="W823" s="122"/>
      <c r="X823" s="122"/>
      <c r="Y823" s="122"/>
    </row>
    <row r="824" spans="1:25" ht="15.75" customHeight="1" x14ac:dyDescent="0.2">
      <c r="A824" s="181"/>
      <c r="B824" s="174"/>
      <c r="C824" s="175"/>
      <c r="D824" s="175"/>
      <c r="E824" s="175"/>
      <c r="F824" s="122"/>
      <c r="G824" s="122"/>
      <c r="H824" s="122"/>
      <c r="I824" s="122"/>
      <c r="J824" s="173"/>
      <c r="K824" s="181"/>
      <c r="L824" s="122"/>
      <c r="M824" s="122"/>
      <c r="N824" s="122"/>
      <c r="O824" s="122"/>
      <c r="P824" s="122"/>
      <c r="Q824" s="122"/>
      <c r="R824" s="122"/>
      <c r="S824" s="122"/>
      <c r="T824" s="122"/>
      <c r="U824" s="122"/>
      <c r="V824" s="122"/>
      <c r="W824" s="122"/>
      <c r="X824" s="122"/>
      <c r="Y824" s="122"/>
    </row>
    <row r="825" spans="1:25" ht="15.75" customHeight="1" x14ac:dyDescent="0.2">
      <c r="A825" s="181"/>
      <c r="B825" s="174"/>
      <c r="C825" s="175"/>
      <c r="D825" s="175"/>
      <c r="E825" s="175"/>
      <c r="F825" s="122"/>
      <c r="G825" s="122"/>
      <c r="H825" s="122"/>
      <c r="I825" s="122"/>
      <c r="J825" s="173"/>
      <c r="K825" s="181"/>
      <c r="L825" s="122"/>
      <c r="M825" s="122"/>
      <c r="N825" s="122"/>
      <c r="O825" s="122"/>
      <c r="P825" s="122"/>
      <c r="Q825" s="122"/>
      <c r="R825" s="122"/>
      <c r="S825" s="122"/>
      <c r="T825" s="122"/>
      <c r="U825" s="122"/>
      <c r="V825" s="122"/>
      <c r="W825" s="122"/>
      <c r="X825" s="122"/>
      <c r="Y825" s="122"/>
    </row>
    <row r="826" spans="1:25" ht="15.75" customHeight="1" x14ac:dyDescent="0.2">
      <c r="A826" s="181"/>
      <c r="B826" s="174"/>
      <c r="C826" s="175"/>
      <c r="D826" s="175"/>
      <c r="E826" s="175"/>
      <c r="F826" s="122"/>
      <c r="G826" s="122"/>
      <c r="H826" s="122"/>
      <c r="I826" s="122"/>
      <c r="J826" s="173"/>
      <c r="K826" s="181"/>
      <c r="L826" s="122"/>
      <c r="M826" s="122"/>
      <c r="N826" s="122"/>
      <c r="O826" s="122"/>
      <c r="P826" s="122"/>
      <c r="Q826" s="122"/>
      <c r="R826" s="122"/>
      <c r="S826" s="122"/>
      <c r="T826" s="122"/>
      <c r="U826" s="122"/>
      <c r="V826" s="122"/>
      <c r="W826" s="122"/>
      <c r="X826" s="122"/>
      <c r="Y826" s="122"/>
    </row>
    <row r="827" spans="1:25" ht="15.75" customHeight="1" x14ac:dyDescent="0.2">
      <c r="A827" s="181"/>
      <c r="B827" s="174"/>
      <c r="C827" s="175"/>
      <c r="D827" s="175"/>
      <c r="E827" s="175"/>
      <c r="F827" s="122"/>
      <c r="G827" s="122"/>
      <c r="H827" s="122"/>
      <c r="I827" s="122"/>
      <c r="J827" s="173"/>
      <c r="K827" s="181"/>
      <c r="L827" s="122"/>
      <c r="M827" s="122"/>
      <c r="N827" s="122"/>
      <c r="O827" s="122"/>
      <c r="P827" s="122"/>
      <c r="Q827" s="122"/>
      <c r="R827" s="122"/>
      <c r="S827" s="122"/>
      <c r="T827" s="122"/>
      <c r="U827" s="122"/>
      <c r="V827" s="122"/>
      <c r="W827" s="122"/>
      <c r="X827" s="122"/>
      <c r="Y827" s="122"/>
    </row>
    <row r="828" spans="1:25" ht="15.75" customHeight="1" x14ac:dyDescent="0.2">
      <c r="A828" s="181"/>
      <c r="B828" s="174"/>
      <c r="C828" s="175"/>
      <c r="D828" s="175"/>
      <c r="E828" s="175"/>
      <c r="F828" s="122"/>
      <c r="G828" s="122"/>
      <c r="H828" s="122"/>
      <c r="I828" s="122"/>
      <c r="J828" s="173"/>
      <c r="K828" s="181"/>
      <c r="L828" s="122"/>
      <c r="M828" s="122"/>
      <c r="N828" s="122"/>
      <c r="O828" s="122"/>
      <c r="P828" s="122"/>
      <c r="Q828" s="122"/>
      <c r="R828" s="122"/>
      <c r="S828" s="122"/>
      <c r="T828" s="122"/>
      <c r="U828" s="122"/>
      <c r="V828" s="122"/>
      <c r="W828" s="122"/>
      <c r="X828" s="122"/>
      <c r="Y828" s="122"/>
    </row>
    <row r="829" spans="1:25" ht="15.75" customHeight="1" x14ac:dyDescent="0.2">
      <c r="A829" s="181"/>
      <c r="B829" s="174"/>
      <c r="C829" s="175"/>
      <c r="D829" s="175"/>
      <c r="E829" s="175"/>
      <c r="F829" s="122"/>
      <c r="G829" s="122"/>
      <c r="H829" s="122"/>
      <c r="I829" s="122"/>
      <c r="J829" s="173"/>
      <c r="K829" s="181"/>
      <c r="L829" s="122"/>
      <c r="M829" s="122"/>
      <c r="N829" s="122"/>
      <c r="O829" s="122"/>
      <c r="P829" s="122"/>
      <c r="Q829" s="122"/>
      <c r="R829" s="122"/>
      <c r="S829" s="122"/>
      <c r="T829" s="122"/>
      <c r="U829" s="122"/>
      <c r="V829" s="122"/>
      <c r="W829" s="122"/>
      <c r="X829" s="122"/>
      <c r="Y829" s="122"/>
    </row>
    <row r="830" spans="1:25" ht="15.75" customHeight="1" x14ac:dyDescent="0.2">
      <c r="A830" s="181"/>
      <c r="B830" s="174"/>
      <c r="C830" s="175"/>
      <c r="D830" s="175"/>
      <c r="E830" s="175"/>
      <c r="F830" s="122"/>
      <c r="G830" s="122"/>
      <c r="H830" s="122"/>
      <c r="I830" s="122"/>
      <c r="J830" s="173"/>
      <c r="K830" s="181"/>
      <c r="L830" s="122"/>
      <c r="M830" s="122"/>
      <c r="N830" s="122"/>
      <c r="O830" s="122"/>
      <c r="P830" s="122"/>
      <c r="Q830" s="122"/>
      <c r="R830" s="122"/>
      <c r="S830" s="122"/>
      <c r="T830" s="122"/>
      <c r="U830" s="122"/>
      <c r="V830" s="122"/>
      <c r="W830" s="122"/>
      <c r="X830" s="122"/>
      <c r="Y830" s="122"/>
    </row>
    <row r="831" spans="1:25" ht="15.75" customHeight="1" x14ac:dyDescent="0.2">
      <c r="A831" s="181"/>
      <c r="B831" s="174"/>
      <c r="C831" s="175"/>
      <c r="D831" s="175"/>
      <c r="E831" s="175"/>
      <c r="F831" s="122"/>
      <c r="G831" s="122"/>
      <c r="H831" s="122"/>
      <c r="I831" s="122"/>
      <c r="J831" s="173"/>
      <c r="K831" s="181"/>
      <c r="L831" s="122"/>
      <c r="M831" s="122"/>
      <c r="N831" s="122"/>
      <c r="O831" s="122"/>
      <c r="P831" s="122"/>
      <c r="Q831" s="122"/>
      <c r="R831" s="122"/>
      <c r="S831" s="122"/>
      <c r="T831" s="122"/>
      <c r="U831" s="122"/>
      <c r="V831" s="122"/>
      <c r="W831" s="122"/>
      <c r="X831" s="122"/>
      <c r="Y831" s="122"/>
    </row>
    <row r="832" spans="1:25" ht="15.75" customHeight="1" x14ac:dyDescent="0.2">
      <c r="A832" s="181"/>
      <c r="B832" s="174"/>
      <c r="C832" s="175"/>
      <c r="D832" s="175"/>
      <c r="E832" s="175"/>
      <c r="F832" s="122"/>
      <c r="G832" s="122"/>
      <c r="H832" s="122"/>
      <c r="I832" s="122"/>
      <c r="J832" s="173"/>
      <c r="K832" s="181"/>
      <c r="L832" s="122"/>
      <c r="M832" s="122"/>
      <c r="N832" s="122"/>
      <c r="O832" s="122"/>
      <c r="P832" s="122"/>
      <c r="Q832" s="122"/>
      <c r="R832" s="122"/>
      <c r="S832" s="122"/>
      <c r="T832" s="122"/>
      <c r="U832" s="122"/>
      <c r="V832" s="122"/>
      <c r="W832" s="122"/>
      <c r="X832" s="122"/>
      <c r="Y832" s="122"/>
    </row>
    <row r="833" spans="1:25" ht="15.75" customHeight="1" x14ac:dyDescent="0.2">
      <c r="A833" s="181"/>
      <c r="B833" s="174"/>
      <c r="C833" s="175"/>
      <c r="D833" s="175"/>
      <c r="E833" s="175"/>
      <c r="F833" s="122"/>
      <c r="G833" s="122"/>
      <c r="H833" s="122"/>
      <c r="I833" s="122"/>
      <c r="J833" s="173"/>
      <c r="K833" s="181"/>
      <c r="L833" s="122"/>
      <c r="M833" s="122"/>
      <c r="N833" s="122"/>
      <c r="O833" s="122"/>
      <c r="P833" s="122"/>
      <c r="Q833" s="122"/>
      <c r="R833" s="122"/>
      <c r="S833" s="122"/>
      <c r="T833" s="122"/>
      <c r="U833" s="122"/>
      <c r="V833" s="122"/>
      <c r="W833" s="122"/>
      <c r="X833" s="122"/>
      <c r="Y833" s="122"/>
    </row>
    <row r="834" spans="1:25" ht="15.75" customHeight="1" x14ac:dyDescent="0.2">
      <c r="A834" s="181"/>
      <c r="B834" s="174"/>
      <c r="C834" s="175"/>
      <c r="D834" s="175"/>
      <c r="E834" s="175"/>
      <c r="F834" s="122"/>
      <c r="G834" s="122"/>
      <c r="H834" s="122"/>
      <c r="I834" s="122"/>
      <c r="J834" s="173"/>
      <c r="K834" s="181"/>
      <c r="L834" s="122"/>
      <c r="M834" s="122"/>
      <c r="N834" s="122"/>
      <c r="O834" s="122"/>
      <c r="P834" s="122"/>
      <c r="Q834" s="122"/>
      <c r="R834" s="122"/>
      <c r="S834" s="122"/>
      <c r="T834" s="122"/>
      <c r="U834" s="122"/>
      <c r="V834" s="122"/>
      <c r="W834" s="122"/>
      <c r="X834" s="122"/>
      <c r="Y834" s="122"/>
    </row>
    <row r="835" spans="1:25" ht="15.75" customHeight="1" x14ac:dyDescent="0.2">
      <c r="A835" s="181"/>
      <c r="B835" s="174"/>
      <c r="C835" s="175"/>
      <c r="D835" s="175"/>
      <c r="E835" s="175"/>
      <c r="F835" s="122"/>
      <c r="G835" s="122"/>
      <c r="H835" s="122"/>
      <c r="I835" s="122"/>
      <c r="J835" s="173"/>
      <c r="K835" s="181"/>
      <c r="L835" s="122"/>
      <c r="M835" s="122"/>
      <c r="N835" s="122"/>
      <c r="O835" s="122"/>
      <c r="P835" s="122"/>
      <c r="Q835" s="122"/>
      <c r="R835" s="122"/>
      <c r="S835" s="122"/>
      <c r="T835" s="122"/>
      <c r="U835" s="122"/>
      <c r="V835" s="122"/>
      <c r="W835" s="122"/>
      <c r="X835" s="122"/>
      <c r="Y835" s="122"/>
    </row>
    <row r="836" spans="1:25" ht="15.75" customHeight="1" x14ac:dyDescent="0.2">
      <c r="A836" s="181"/>
      <c r="B836" s="174"/>
      <c r="C836" s="175"/>
      <c r="D836" s="175"/>
      <c r="E836" s="175"/>
      <c r="F836" s="122"/>
      <c r="G836" s="122"/>
      <c r="H836" s="122"/>
      <c r="I836" s="122"/>
      <c r="J836" s="173"/>
      <c r="K836" s="181"/>
      <c r="L836" s="122"/>
      <c r="M836" s="122"/>
      <c r="N836" s="122"/>
      <c r="O836" s="122"/>
      <c r="P836" s="122"/>
      <c r="Q836" s="122"/>
      <c r="R836" s="122"/>
      <c r="S836" s="122"/>
      <c r="T836" s="122"/>
      <c r="U836" s="122"/>
      <c r="V836" s="122"/>
      <c r="W836" s="122"/>
      <c r="X836" s="122"/>
      <c r="Y836" s="122"/>
    </row>
    <row r="837" spans="1:25" ht="15.75" customHeight="1" x14ac:dyDescent="0.2">
      <c r="A837" s="181"/>
      <c r="B837" s="174"/>
      <c r="C837" s="175"/>
      <c r="D837" s="175"/>
      <c r="E837" s="175"/>
      <c r="F837" s="122"/>
      <c r="G837" s="122"/>
      <c r="H837" s="122"/>
      <c r="I837" s="122"/>
      <c r="J837" s="173"/>
      <c r="K837" s="181"/>
      <c r="L837" s="122"/>
      <c r="M837" s="122"/>
      <c r="N837" s="122"/>
      <c r="O837" s="122"/>
      <c r="P837" s="122"/>
      <c r="Q837" s="122"/>
      <c r="R837" s="122"/>
      <c r="S837" s="122"/>
      <c r="T837" s="122"/>
      <c r="U837" s="122"/>
      <c r="V837" s="122"/>
      <c r="W837" s="122"/>
      <c r="X837" s="122"/>
      <c r="Y837" s="122"/>
    </row>
    <row r="838" spans="1:25" ht="15.75" customHeight="1" x14ac:dyDescent="0.2">
      <c r="A838" s="181"/>
      <c r="B838" s="174"/>
      <c r="C838" s="175"/>
      <c r="D838" s="175"/>
      <c r="E838" s="175"/>
      <c r="F838" s="122"/>
      <c r="G838" s="122"/>
      <c r="H838" s="122"/>
      <c r="I838" s="122"/>
      <c r="J838" s="173"/>
      <c r="K838" s="181"/>
      <c r="L838" s="122"/>
      <c r="M838" s="122"/>
      <c r="N838" s="122"/>
      <c r="O838" s="122"/>
      <c r="P838" s="122"/>
      <c r="Q838" s="122"/>
      <c r="R838" s="122"/>
      <c r="S838" s="122"/>
      <c r="T838" s="122"/>
      <c r="U838" s="122"/>
      <c r="V838" s="122"/>
      <c r="W838" s="122"/>
      <c r="X838" s="122"/>
      <c r="Y838" s="122"/>
    </row>
    <row r="839" spans="1:25" ht="15.75" customHeight="1" x14ac:dyDescent="0.2">
      <c r="A839" s="181"/>
      <c r="B839" s="174"/>
      <c r="C839" s="175"/>
      <c r="D839" s="175"/>
      <c r="E839" s="175"/>
      <c r="F839" s="122"/>
      <c r="G839" s="122"/>
      <c r="H839" s="122"/>
      <c r="I839" s="122"/>
      <c r="J839" s="173"/>
      <c r="K839" s="181"/>
      <c r="L839" s="122"/>
      <c r="M839" s="122"/>
      <c r="N839" s="122"/>
      <c r="O839" s="122"/>
      <c r="P839" s="122"/>
      <c r="Q839" s="122"/>
      <c r="R839" s="122"/>
      <c r="S839" s="122"/>
      <c r="T839" s="122"/>
      <c r="U839" s="122"/>
      <c r="V839" s="122"/>
      <c r="W839" s="122"/>
      <c r="X839" s="122"/>
      <c r="Y839" s="122"/>
    </row>
    <row r="840" spans="1:25" ht="15.75" customHeight="1" x14ac:dyDescent="0.2">
      <c r="A840" s="181"/>
      <c r="B840" s="174"/>
      <c r="C840" s="175"/>
      <c r="D840" s="175"/>
      <c r="E840" s="175"/>
      <c r="F840" s="122"/>
      <c r="G840" s="122"/>
      <c r="H840" s="122"/>
      <c r="I840" s="122"/>
      <c r="J840" s="173"/>
      <c r="K840" s="181"/>
      <c r="L840" s="122"/>
      <c r="M840" s="122"/>
      <c r="N840" s="122"/>
      <c r="O840" s="122"/>
      <c r="P840" s="122"/>
      <c r="Q840" s="122"/>
      <c r="R840" s="122"/>
      <c r="S840" s="122"/>
      <c r="T840" s="122"/>
      <c r="U840" s="122"/>
      <c r="V840" s="122"/>
      <c r="W840" s="122"/>
      <c r="X840" s="122"/>
      <c r="Y840" s="122"/>
    </row>
    <row r="841" spans="1:25" ht="15.75" customHeight="1" x14ac:dyDescent="0.2">
      <c r="A841" s="181"/>
      <c r="B841" s="174"/>
      <c r="C841" s="175"/>
      <c r="D841" s="175"/>
      <c r="E841" s="175"/>
      <c r="F841" s="122"/>
      <c r="G841" s="122"/>
      <c r="H841" s="122"/>
      <c r="I841" s="122"/>
      <c r="J841" s="173"/>
      <c r="K841" s="181"/>
      <c r="L841" s="122"/>
      <c r="M841" s="122"/>
      <c r="N841" s="122"/>
      <c r="O841" s="122"/>
      <c r="P841" s="122"/>
      <c r="Q841" s="122"/>
      <c r="R841" s="122"/>
      <c r="S841" s="122"/>
      <c r="T841" s="122"/>
      <c r="U841" s="122"/>
      <c r="V841" s="122"/>
      <c r="W841" s="122"/>
      <c r="X841" s="122"/>
      <c r="Y841" s="122"/>
    </row>
    <row r="842" spans="1:25" ht="15.75" customHeight="1" x14ac:dyDescent="0.2">
      <c r="A842" s="181"/>
      <c r="B842" s="174"/>
      <c r="C842" s="175"/>
      <c r="D842" s="175"/>
      <c r="E842" s="175"/>
      <c r="F842" s="122"/>
      <c r="G842" s="122"/>
      <c r="H842" s="122"/>
      <c r="I842" s="122"/>
      <c r="J842" s="173"/>
      <c r="K842" s="181"/>
      <c r="L842" s="122"/>
      <c r="M842" s="122"/>
      <c r="N842" s="122"/>
      <c r="O842" s="122"/>
      <c r="P842" s="122"/>
      <c r="Q842" s="122"/>
      <c r="R842" s="122"/>
      <c r="S842" s="122"/>
      <c r="T842" s="122"/>
      <c r="U842" s="122"/>
      <c r="V842" s="122"/>
      <c r="W842" s="122"/>
      <c r="X842" s="122"/>
      <c r="Y842" s="122"/>
    </row>
    <row r="843" spans="1:25" ht="15.75" customHeight="1" x14ac:dyDescent="0.2">
      <c r="A843" s="181"/>
      <c r="B843" s="174"/>
      <c r="C843" s="175"/>
      <c r="D843" s="175"/>
      <c r="E843" s="175"/>
      <c r="F843" s="122"/>
      <c r="G843" s="122"/>
      <c r="H843" s="122"/>
      <c r="I843" s="122"/>
      <c r="J843" s="173"/>
      <c r="K843" s="181"/>
      <c r="L843" s="122"/>
      <c r="M843" s="122"/>
      <c r="N843" s="122"/>
      <c r="O843" s="122"/>
      <c r="P843" s="122"/>
      <c r="Q843" s="122"/>
      <c r="R843" s="122"/>
      <c r="S843" s="122"/>
      <c r="T843" s="122"/>
      <c r="U843" s="122"/>
      <c r="V843" s="122"/>
      <c r="W843" s="122"/>
      <c r="X843" s="122"/>
      <c r="Y843" s="122"/>
    </row>
    <row r="844" spans="1:25" ht="15.75" customHeight="1" x14ac:dyDescent="0.2">
      <c r="A844" s="181"/>
      <c r="B844" s="174"/>
      <c r="C844" s="175"/>
      <c r="D844" s="175"/>
      <c r="E844" s="175"/>
      <c r="F844" s="122"/>
      <c r="G844" s="122"/>
      <c r="H844" s="122"/>
      <c r="I844" s="122"/>
      <c r="J844" s="173"/>
      <c r="K844" s="181"/>
      <c r="L844" s="122"/>
      <c r="M844" s="122"/>
      <c r="N844" s="122"/>
      <c r="O844" s="122"/>
      <c r="P844" s="122"/>
      <c r="Q844" s="122"/>
      <c r="R844" s="122"/>
      <c r="S844" s="122"/>
      <c r="T844" s="122"/>
      <c r="U844" s="122"/>
      <c r="V844" s="122"/>
      <c r="W844" s="122"/>
      <c r="X844" s="122"/>
      <c r="Y844" s="122"/>
    </row>
    <row r="845" spans="1:25" ht="15.75" customHeight="1" x14ac:dyDescent="0.2">
      <c r="A845" s="181"/>
      <c r="B845" s="174"/>
      <c r="C845" s="175"/>
      <c r="D845" s="175"/>
      <c r="E845" s="175"/>
      <c r="F845" s="122"/>
      <c r="G845" s="122"/>
      <c r="H845" s="122"/>
      <c r="I845" s="122"/>
      <c r="J845" s="173"/>
      <c r="K845" s="181"/>
      <c r="L845" s="122"/>
      <c r="M845" s="122"/>
      <c r="N845" s="122"/>
      <c r="O845" s="122"/>
      <c r="P845" s="122"/>
      <c r="Q845" s="122"/>
      <c r="R845" s="122"/>
      <c r="S845" s="122"/>
      <c r="T845" s="122"/>
      <c r="U845" s="122"/>
      <c r="V845" s="122"/>
      <c r="W845" s="122"/>
      <c r="X845" s="122"/>
      <c r="Y845" s="122"/>
    </row>
    <row r="846" spans="1:25" ht="15.75" customHeight="1" x14ac:dyDescent="0.2">
      <c r="A846" s="181"/>
      <c r="B846" s="174"/>
      <c r="C846" s="175"/>
      <c r="D846" s="175"/>
      <c r="E846" s="175"/>
      <c r="F846" s="122"/>
      <c r="G846" s="122"/>
      <c r="H846" s="122"/>
      <c r="I846" s="122"/>
      <c r="J846" s="173"/>
      <c r="K846" s="181"/>
      <c r="L846" s="122"/>
      <c r="M846" s="122"/>
      <c r="N846" s="122"/>
      <c r="O846" s="122"/>
      <c r="P846" s="122"/>
      <c r="Q846" s="122"/>
      <c r="R846" s="122"/>
      <c r="S846" s="122"/>
      <c r="T846" s="122"/>
      <c r="U846" s="122"/>
      <c r="V846" s="122"/>
      <c r="W846" s="122"/>
      <c r="X846" s="122"/>
      <c r="Y846" s="122"/>
    </row>
    <row r="847" spans="1:25" ht="15.75" customHeight="1" x14ac:dyDescent="0.2">
      <c r="A847" s="181"/>
      <c r="B847" s="174"/>
      <c r="C847" s="175"/>
      <c r="D847" s="175"/>
      <c r="E847" s="175"/>
      <c r="F847" s="122"/>
      <c r="G847" s="122"/>
      <c r="H847" s="122"/>
      <c r="I847" s="122"/>
      <c r="J847" s="173"/>
      <c r="K847" s="181"/>
      <c r="L847" s="122"/>
      <c r="M847" s="122"/>
      <c r="N847" s="122"/>
      <c r="O847" s="122"/>
      <c r="P847" s="122"/>
      <c r="Q847" s="122"/>
      <c r="R847" s="122"/>
      <c r="S847" s="122"/>
      <c r="T847" s="122"/>
      <c r="U847" s="122"/>
      <c r="V847" s="122"/>
      <c r="W847" s="122"/>
      <c r="X847" s="122"/>
      <c r="Y847" s="122"/>
    </row>
    <row r="848" spans="1:25" ht="15.75" customHeight="1" x14ac:dyDescent="0.2">
      <c r="A848" s="181"/>
      <c r="B848" s="174"/>
      <c r="C848" s="175"/>
      <c r="D848" s="175"/>
      <c r="E848" s="175"/>
      <c r="F848" s="122"/>
      <c r="G848" s="122"/>
      <c r="H848" s="122"/>
      <c r="I848" s="122"/>
      <c r="J848" s="173"/>
      <c r="K848" s="181"/>
      <c r="L848" s="122"/>
      <c r="M848" s="122"/>
      <c r="N848" s="122"/>
      <c r="O848" s="122"/>
      <c r="P848" s="122"/>
      <c r="Q848" s="122"/>
      <c r="R848" s="122"/>
      <c r="S848" s="122"/>
      <c r="T848" s="122"/>
      <c r="U848" s="122"/>
      <c r="V848" s="122"/>
      <c r="W848" s="122"/>
      <c r="X848" s="122"/>
      <c r="Y848" s="122"/>
    </row>
    <row r="849" spans="1:25" ht="15.75" customHeight="1" x14ac:dyDescent="0.2">
      <c r="A849" s="181"/>
      <c r="B849" s="174"/>
      <c r="C849" s="175"/>
      <c r="D849" s="175"/>
      <c r="E849" s="175"/>
      <c r="F849" s="122"/>
      <c r="G849" s="122"/>
      <c r="H849" s="122"/>
      <c r="I849" s="122"/>
      <c r="J849" s="173"/>
      <c r="K849" s="181"/>
      <c r="L849" s="122"/>
      <c r="M849" s="122"/>
      <c r="N849" s="122"/>
      <c r="O849" s="122"/>
      <c r="P849" s="122"/>
      <c r="Q849" s="122"/>
      <c r="R849" s="122"/>
      <c r="S849" s="122"/>
      <c r="T849" s="122"/>
      <c r="U849" s="122"/>
      <c r="V849" s="122"/>
      <c r="W849" s="122"/>
      <c r="X849" s="122"/>
      <c r="Y849" s="122"/>
    </row>
    <row r="850" spans="1:25" ht="15.75" customHeight="1" x14ac:dyDescent="0.2">
      <c r="A850" s="181"/>
      <c r="B850" s="174"/>
      <c r="C850" s="175"/>
      <c r="D850" s="175"/>
      <c r="E850" s="175"/>
      <c r="F850" s="122"/>
      <c r="G850" s="122"/>
      <c r="H850" s="122"/>
      <c r="I850" s="122"/>
      <c r="J850" s="173"/>
      <c r="K850" s="181"/>
      <c r="L850" s="122"/>
      <c r="M850" s="122"/>
      <c r="N850" s="122"/>
      <c r="O850" s="122"/>
      <c r="P850" s="122"/>
      <c r="Q850" s="122"/>
      <c r="R850" s="122"/>
      <c r="S850" s="122"/>
      <c r="T850" s="122"/>
      <c r="U850" s="122"/>
      <c r="V850" s="122"/>
      <c r="W850" s="122"/>
      <c r="X850" s="122"/>
      <c r="Y850" s="122"/>
    </row>
    <row r="851" spans="1:25" ht="15.75" customHeight="1" x14ac:dyDescent="0.2">
      <c r="A851" s="181"/>
      <c r="B851" s="174"/>
      <c r="C851" s="175"/>
      <c r="D851" s="175"/>
      <c r="E851" s="175"/>
      <c r="F851" s="122"/>
      <c r="G851" s="122"/>
      <c r="H851" s="122"/>
      <c r="I851" s="122"/>
      <c r="J851" s="173"/>
      <c r="K851" s="181"/>
      <c r="L851" s="122"/>
      <c r="M851" s="122"/>
      <c r="N851" s="122"/>
      <c r="O851" s="122"/>
      <c r="P851" s="122"/>
      <c r="Q851" s="122"/>
      <c r="R851" s="122"/>
      <c r="S851" s="122"/>
      <c r="T851" s="122"/>
      <c r="U851" s="122"/>
      <c r="V851" s="122"/>
      <c r="W851" s="122"/>
      <c r="X851" s="122"/>
      <c r="Y851" s="122"/>
    </row>
    <row r="852" spans="1:25" ht="15.75" customHeight="1" x14ac:dyDescent="0.2">
      <c r="A852" s="181"/>
      <c r="B852" s="174"/>
      <c r="C852" s="175"/>
      <c r="D852" s="175"/>
      <c r="E852" s="175"/>
      <c r="F852" s="122"/>
      <c r="G852" s="122"/>
      <c r="H852" s="122"/>
      <c r="I852" s="122"/>
      <c r="J852" s="173"/>
      <c r="K852" s="181"/>
      <c r="L852" s="122"/>
      <c r="M852" s="122"/>
      <c r="N852" s="122"/>
      <c r="O852" s="122"/>
      <c r="P852" s="122"/>
      <c r="Q852" s="122"/>
      <c r="R852" s="122"/>
      <c r="S852" s="122"/>
      <c r="T852" s="122"/>
      <c r="U852" s="122"/>
      <c r="V852" s="122"/>
      <c r="W852" s="122"/>
      <c r="X852" s="122"/>
      <c r="Y852" s="122"/>
    </row>
    <row r="853" spans="1:25" ht="15.75" customHeight="1" x14ac:dyDescent="0.2">
      <c r="A853" s="181"/>
      <c r="B853" s="174"/>
      <c r="C853" s="175"/>
      <c r="D853" s="175"/>
      <c r="E853" s="175"/>
      <c r="F853" s="122"/>
      <c r="G853" s="122"/>
      <c r="H853" s="122"/>
      <c r="I853" s="122"/>
      <c r="J853" s="173"/>
      <c r="K853" s="181"/>
      <c r="L853" s="122"/>
      <c r="M853" s="122"/>
      <c r="N853" s="122"/>
      <c r="O853" s="122"/>
      <c r="P853" s="122"/>
      <c r="Q853" s="122"/>
      <c r="R853" s="122"/>
      <c r="S853" s="122"/>
      <c r="T853" s="122"/>
      <c r="U853" s="122"/>
      <c r="V853" s="122"/>
      <c r="W853" s="122"/>
      <c r="X853" s="122"/>
      <c r="Y853" s="122"/>
    </row>
    <row r="854" spans="1:25" ht="15.75" customHeight="1" x14ac:dyDescent="0.2">
      <c r="A854" s="181"/>
      <c r="B854" s="174"/>
      <c r="C854" s="175"/>
      <c r="D854" s="175"/>
      <c r="E854" s="175"/>
      <c r="F854" s="122"/>
      <c r="G854" s="122"/>
      <c r="H854" s="122"/>
      <c r="I854" s="122"/>
      <c r="J854" s="173"/>
      <c r="K854" s="181"/>
      <c r="L854" s="122"/>
      <c r="M854" s="122"/>
      <c r="N854" s="122"/>
      <c r="O854" s="122"/>
      <c r="P854" s="122"/>
      <c r="Q854" s="122"/>
      <c r="R854" s="122"/>
      <c r="S854" s="122"/>
      <c r="T854" s="122"/>
      <c r="U854" s="122"/>
      <c r="V854" s="122"/>
      <c r="W854" s="122"/>
      <c r="X854" s="122"/>
      <c r="Y854" s="122"/>
    </row>
    <row r="855" spans="1:25" ht="15.75" customHeight="1" x14ac:dyDescent="0.2">
      <c r="A855" s="181"/>
      <c r="B855" s="174"/>
      <c r="C855" s="175"/>
      <c r="D855" s="175"/>
      <c r="E855" s="175"/>
      <c r="F855" s="122"/>
      <c r="G855" s="122"/>
      <c r="H855" s="122"/>
      <c r="I855" s="122"/>
      <c r="J855" s="173"/>
      <c r="K855" s="181"/>
      <c r="L855" s="122"/>
      <c r="M855" s="122"/>
      <c r="N855" s="122"/>
      <c r="O855" s="122"/>
      <c r="P855" s="122"/>
      <c r="Q855" s="122"/>
      <c r="R855" s="122"/>
      <c r="S855" s="122"/>
      <c r="T855" s="122"/>
      <c r="U855" s="122"/>
      <c r="V855" s="122"/>
      <c r="W855" s="122"/>
      <c r="X855" s="122"/>
      <c r="Y855" s="122"/>
    </row>
    <row r="856" spans="1:25" ht="15.75" customHeight="1" x14ac:dyDescent="0.2">
      <c r="A856" s="181"/>
      <c r="B856" s="174"/>
      <c r="C856" s="175"/>
      <c r="D856" s="175"/>
      <c r="E856" s="175"/>
      <c r="F856" s="122"/>
      <c r="G856" s="122"/>
      <c r="H856" s="122"/>
      <c r="I856" s="122"/>
      <c r="J856" s="173"/>
      <c r="K856" s="181"/>
      <c r="L856" s="122"/>
      <c r="M856" s="122"/>
      <c r="N856" s="122"/>
      <c r="O856" s="122"/>
      <c r="P856" s="122"/>
      <c r="Q856" s="122"/>
      <c r="R856" s="122"/>
      <c r="S856" s="122"/>
      <c r="T856" s="122"/>
      <c r="U856" s="122"/>
      <c r="V856" s="122"/>
      <c r="W856" s="122"/>
      <c r="X856" s="122"/>
      <c r="Y856" s="122"/>
    </row>
    <row r="857" spans="1:25" ht="15.75" customHeight="1" x14ac:dyDescent="0.2">
      <c r="A857" s="181"/>
      <c r="B857" s="174"/>
      <c r="C857" s="175"/>
      <c r="D857" s="175"/>
      <c r="E857" s="175"/>
      <c r="F857" s="122"/>
      <c r="G857" s="122"/>
      <c r="H857" s="122"/>
      <c r="I857" s="122"/>
      <c r="J857" s="173"/>
      <c r="K857" s="181"/>
      <c r="L857" s="122"/>
      <c r="M857" s="122"/>
      <c r="N857" s="122"/>
      <c r="O857" s="122"/>
      <c r="P857" s="122"/>
      <c r="Q857" s="122"/>
      <c r="R857" s="122"/>
      <c r="S857" s="122"/>
      <c r="T857" s="122"/>
      <c r="U857" s="122"/>
      <c r="V857" s="122"/>
      <c r="W857" s="122"/>
      <c r="X857" s="122"/>
      <c r="Y857" s="122"/>
    </row>
    <row r="858" spans="1:25" ht="15.75" customHeight="1" x14ac:dyDescent="0.2">
      <c r="A858" s="181"/>
      <c r="B858" s="174"/>
      <c r="C858" s="175"/>
      <c r="D858" s="175"/>
      <c r="E858" s="175"/>
      <c r="F858" s="122"/>
      <c r="G858" s="122"/>
      <c r="H858" s="122"/>
      <c r="I858" s="122"/>
      <c r="J858" s="173"/>
      <c r="K858" s="181"/>
      <c r="L858" s="122"/>
      <c r="M858" s="122"/>
      <c r="N858" s="122"/>
      <c r="O858" s="122"/>
      <c r="P858" s="122"/>
      <c r="Q858" s="122"/>
      <c r="R858" s="122"/>
      <c r="S858" s="122"/>
      <c r="T858" s="122"/>
      <c r="U858" s="122"/>
      <c r="V858" s="122"/>
      <c r="W858" s="122"/>
      <c r="X858" s="122"/>
      <c r="Y858" s="122"/>
    </row>
    <row r="859" spans="1:25" ht="15.75" customHeight="1" x14ac:dyDescent="0.2">
      <c r="A859" s="181"/>
      <c r="B859" s="174"/>
      <c r="C859" s="175"/>
      <c r="D859" s="175"/>
      <c r="E859" s="175"/>
      <c r="F859" s="122"/>
      <c r="G859" s="122"/>
      <c r="H859" s="122"/>
      <c r="I859" s="122"/>
      <c r="J859" s="173"/>
      <c r="K859" s="181"/>
      <c r="L859" s="122"/>
      <c r="M859" s="122"/>
      <c r="N859" s="122"/>
      <c r="O859" s="122"/>
      <c r="P859" s="122"/>
      <c r="Q859" s="122"/>
      <c r="R859" s="122"/>
      <c r="S859" s="122"/>
      <c r="T859" s="122"/>
      <c r="U859" s="122"/>
      <c r="V859" s="122"/>
      <c r="W859" s="122"/>
      <c r="X859" s="122"/>
      <c r="Y859" s="122"/>
    </row>
    <row r="860" spans="1:25" ht="15.75" customHeight="1" x14ac:dyDescent="0.2">
      <c r="A860" s="181"/>
      <c r="B860" s="174"/>
      <c r="C860" s="175"/>
      <c r="D860" s="175"/>
      <c r="E860" s="175"/>
      <c r="F860" s="122"/>
      <c r="G860" s="122"/>
      <c r="H860" s="122"/>
      <c r="I860" s="122"/>
      <c r="J860" s="173"/>
      <c r="K860" s="181"/>
      <c r="L860" s="122"/>
      <c r="M860" s="122"/>
      <c r="N860" s="122"/>
      <c r="O860" s="122"/>
      <c r="P860" s="122"/>
      <c r="Q860" s="122"/>
      <c r="R860" s="122"/>
      <c r="S860" s="122"/>
      <c r="T860" s="122"/>
      <c r="U860" s="122"/>
      <c r="V860" s="122"/>
      <c r="W860" s="122"/>
      <c r="X860" s="122"/>
      <c r="Y860" s="122"/>
    </row>
    <row r="861" spans="1:25" ht="15.75" customHeight="1" x14ac:dyDescent="0.2">
      <c r="A861" s="181"/>
      <c r="B861" s="174"/>
      <c r="C861" s="175"/>
      <c r="D861" s="175"/>
      <c r="E861" s="175"/>
      <c r="F861" s="122"/>
      <c r="G861" s="122"/>
      <c r="H861" s="122"/>
      <c r="I861" s="122"/>
      <c r="J861" s="173"/>
      <c r="K861" s="181"/>
      <c r="L861" s="122"/>
      <c r="M861" s="122"/>
      <c r="N861" s="122"/>
      <c r="O861" s="122"/>
      <c r="P861" s="122"/>
      <c r="Q861" s="122"/>
      <c r="R861" s="122"/>
      <c r="S861" s="122"/>
      <c r="T861" s="122"/>
      <c r="U861" s="122"/>
      <c r="V861" s="122"/>
      <c r="W861" s="122"/>
      <c r="X861" s="122"/>
      <c r="Y861" s="122"/>
    </row>
    <row r="862" spans="1:25" ht="15.75" customHeight="1" x14ac:dyDescent="0.2">
      <c r="A862" s="181"/>
      <c r="B862" s="174"/>
      <c r="C862" s="175"/>
      <c r="D862" s="175"/>
      <c r="E862" s="175"/>
      <c r="F862" s="122"/>
      <c r="G862" s="122"/>
      <c r="H862" s="122"/>
      <c r="I862" s="122"/>
      <c r="J862" s="173"/>
      <c r="K862" s="181"/>
      <c r="L862" s="122"/>
      <c r="M862" s="122"/>
      <c r="N862" s="122"/>
      <c r="O862" s="122"/>
      <c r="P862" s="122"/>
      <c r="Q862" s="122"/>
      <c r="R862" s="122"/>
      <c r="S862" s="122"/>
      <c r="T862" s="122"/>
      <c r="U862" s="122"/>
      <c r="V862" s="122"/>
      <c r="W862" s="122"/>
      <c r="X862" s="122"/>
      <c r="Y862" s="122"/>
    </row>
    <row r="863" spans="1:25" ht="15.75" customHeight="1" x14ac:dyDescent="0.2">
      <c r="A863" s="181"/>
      <c r="B863" s="174"/>
      <c r="C863" s="175"/>
      <c r="D863" s="175"/>
      <c r="E863" s="175"/>
      <c r="F863" s="122"/>
      <c r="G863" s="122"/>
      <c r="H863" s="122"/>
      <c r="I863" s="122"/>
      <c r="J863" s="173"/>
      <c r="K863" s="181"/>
      <c r="L863" s="122"/>
      <c r="M863" s="122"/>
      <c r="N863" s="122"/>
      <c r="O863" s="122"/>
      <c r="P863" s="122"/>
      <c r="Q863" s="122"/>
      <c r="R863" s="122"/>
      <c r="S863" s="122"/>
      <c r="T863" s="122"/>
      <c r="U863" s="122"/>
      <c r="V863" s="122"/>
      <c r="W863" s="122"/>
      <c r="X863" s="122"/>
      <c r="Y863" s="122"/>
    </row>
    <row r="864" spans="1:25" ht="15.75" customHeight="1" x14ac:dyDescent="0.2">
      <c r="A864" s="181"/>
      <c r="B864" s="174"/>
      <c r="C864" s="175"/>
      <c r="D864" s="175"/>
      <c r="E864" s="175"/>
      <c r="F864" s="122"/>
      <c r="G864" s="122"/>
      <c r="H864" s="122"/>
      <c r="I864" s="122"/>
      <c r="J864" s="173"/>
      <c r="K864" s="181"/>
      <c r="L864" s="122"/>
      <c r="M864" s="122"/>
      <c r="N864" s="122"/>
      <c r="O864" s="122"/>
      <c r="P864" s="122"/>
      <c r="Q864" s="122"/>
      <c r="R864" s="122"/>
      <c r="S864" s="122"/>
      <c r="T864" s="122"/>
      <c r="U864" s="122"/>
      <c r="V864" s="122"/>
      <c r="W864" s="122"/>
      <c r="X864" s="122"/>
      <c r="Y864" s="122"/>
    </row>
    <row r="865" spans="1:25" ht="15.75" customHeight="1" x14ac:dyDescent="0.2">
      <c r="A865" s="181"/>
      <c r="B865" s="174"/>
      <c r="C865" s="175"/>
      <c r="D865" s="175"/>
      <c r="E865" s="175"/>
      <c r="F865" s="122"/>
      <c r="G865" s="122"/>
      <c r="H865" s="122"/>
      <c r="I865" s="122"/>
      <c r="J865" s="173"/>
      <c r="K865" s="181"/>
      <c r="L865" s="122"/>
      <c r="M865" s="122"/>
      <c r="N865" s="122"/>
      <c r="O865" s="122"/>
      <c r="P865" s="122"/>
      <c r="Q865" s="122"/>
      <c r="R865" s="122"/>
      <c r="S865" s="122"/>
      <c r="T865" s="122"/>
      <c r="U865" s="122"/>
      <c r="V865" s="122"/>
      <c r="W865" s="122"/>
      <c r="X865" s="122"/>
      <c r="Y865" s="122"/>
    </row>
    <row r="866" spans="1:25" ht="15.75" customHeight="1" x14ac:dyDescent="0.2">
      <c r="A866" s="181"/>
      <c r="B866" s="174"/>
      <c r="C866" s="175"/>
      <c r="D866" s="175"/>
      <c r="E866" s="175"/>
      <c r="F866" s="122"/>
      <c r="G866" s="122"/>
      <c r="H866" s="122"/>
      <c r="I866" s="122"/>
      <c r="J866" s="173"/>
      <c r="K866" s="181"/>
      <c r="L866" s="122"/>
      <c r="M866" s="122"/>
      <c r="N866" s="122"/>
      <c r="O866" s="122"/>
      <c r="P866" s="122"/>
      <c r="Q866" s="122"/>
      <c r="R866" s="122"/>
      <c r="S866" s="122"/>
      <c r="T866" s="122"/>
      <c r="U866" s="122"/>
      <c r="V866" s="122"/>
      <c r="W866" s="122"/>
      <c r="X866" s="122"/>
      <c r="Y866" s="122"/>
    </row>
    <row r="867" spans="1:25" ht="15.75" customHeight="1" x14ac:dyDescent="0.2">
      <c r="A867" s="181"/>
      <c r="B867" s="174"/>
      <c r="C867" s="175"/>
      <c r="D867" s="175"/>
      <c r="E867" s="175"/>
      <c r="F867" s="122"/>
      <c r="G867" s="122"/>
      <c r="H867" s="122"/>
      <c r="I867" s="122"/>
      <c r="J867" s="173"/>
      <c r="K867" s="181"/>
      <c r="L867" s="122"/>
      <c r="M867" s="122"/>
      <c r="N867" s="122"/>
      <c r="O867" s="122"/>
      <c r="P867" s="122"/>
      <c r="Q867" s="122"/>
      <c r="R867" s="122"/>
      <c r="S867" s="122"/>
      <c r="T867" s="122"/>
      <c r="U867" s="122"/>
      <c r="V867" s="122"/>
      <c r="W867" s="122"/>
      <c r="X867" s="122"/>
      <c r="Y867" s="122"/>
    </row>
    <row r="868" spans="1:25" ht="15.75" customHeight="1" x14ac:dyDescent="0.2">
      <c r="A868" s="181"/>
      <c r="B868" s="174"/>
      <c r="C868" s="175"/>
      <c r="D868" s="175"/>
      <c r="E868" s="175"/>
      <c r="F868" s="122"/>
      <c r="G868" s="122"/>
      <c r="H868" s="122"/>
      <c r="I868" s="122"/>
      <c r="J868" s="173"/>
      <c r="K868" s="181"/>
      <c r="L868" s="122"/>
      <c r="M868" s="122"/>
      <c r="N868" s="122"/>
      <c r="O868" s="122"/>
      <c r="P868" s="122"/>
      <c r="Q868" s="122"/>
      <c r="R868" s="122"/>
      <c r="S868" s="122"/>
      <c r="T868" s="122"/>
      <c r="U868" s="122"/>
      <c r="V868" s="122"/>
      <c r="W868" s="122"/>
      <c r="X868" s="122"/>
      <c r="Y868" s="122"/>
    </row>
    <row r="869" spans="1:25" ht="15.75" customHeight="1" x14ac:dyDescent="0.2">
      <c r="A869" s="181"/>
      <c r="B869" s="174"/>
      <c r="C869" s="175"/>
      <c r="D869" s="175"/>
      <c r="E869" s="175"/>
      <c r="F869" s="122"/>
      <c r="G869" s="122"/>
      <c r="H869" s="122"/>
      <c r="I869" s="122"/>
      <c r="J869" s="173"/>
      <c r="K869" s="181"/>
      <c r="L869" s="122"/>
      <c r="M869" s="122"/>
      <c r="N869" s="122"/>
      <c r="O869" s="122"/>
      <c r="P869" s="122"/>
      <c r="Q869" s="122"/>
      <c r="R869" s="122"/>
      <c r="S869" s="122"/>
      <c r="T869" s="122"/>
      <c r="U869" s="122"/>
      <c r="V869" s="122"/>
      <c r="W869" s="122"/>
      <c r="X869" s="122"/>
      <c r="Y869" s="122"/>
    </row>
    <row r="870" spans="1:25" ht="15.75" customHeight="1" x14ac:dyDescent="0.2">
      <c r="A870" s="181"/>
      <c r="B870" s="174"/>
      <c r="C870" s="175"/>
      <c r="D870" s="175"/>
      <c r="E870" s="175"/>
      <c r="F870" s="122"/>
      <c r="G870" s="122"/>
      <c r="H870" s="122"/>
      <c r="I870" s="122"/>
      <c r="J870" s="173"/>
      <c r="K870" s="181"/>
      <c r="L870" s="122"/>
      <c r="M870" s="122"/>
      <c r="N870" s="122"/>
      <c r="O870" s="122"/>
      <c r="P870" s="122"/>
      <c r="Q870" s="122"/>
      <c r="R870" s="122"/>
      <c r="S870" s="122"/>
      <c r="T870" s="122"/>
      <c r="U870" s="122"/>
      <c r="V870" s="122"/>
      <c r="W870" s="122"/>
      <c r="X870" s="122"/>
      <c r="Y870" s="122"/>
    </row>
    <row r="871" spans="1:25" ht="15.75" customHeight="1" x14ac:dyDescent="0.2">
      <c r="A871" s="181"/>
      <c r="B871" s="174"/>
      <c r="C871" s="175"/>
      <c r="D871" s="175"/>
      <c r="E871" s="175"/>
      <c r="F871" s="122"/>
      <c r="G871" s="122"/>
      <c r="H871" s="122"/>
      <c r="I871" s="122"/>
      <c r="J871" s="173"/>
      <c r="K871" s="181"/>
      <c r="L871" s="122"/>
      <c r="M871" s="122"/>
      <c r="N871" s="122"/>
      <c r="O871" s="122"/>
      <c r="P871" s="122"/>
      <c r="Q871" s="122"/>
      <c r="R871" s="122"/>
      <c r="S871" s="122"/>
      <c r="T871" s="122"/>
      <c r="U871" s="122"/>
      <c r="V871" s="122"/>
      <c r="W871" s="122"/>
      <c r="X871" s="122"/>
      <c r="Y871" s="122"/>
    </row>
    <row r="872" spans="1:25" ht="15.75" customHeight="1" x14ac:dyDescent="0.2">
      <c r="A872" s="181"/>
      <c r="B872" s="174"/>
      <c r="C872" s="175"/>
      <c r="D872" s="175"/>
      <c r="E872" s="175"/>
      <c r="F872" s="122"/>
      <c r="G872" s="122"/>
      <c r="H872" s="122"/>
      <c r="I872" s="122"/>
      <c r="J872" s="173"/>
      <c r="K872" s="181"/>
      <c r="L872" s="122"/>
      <c r="M872" s="122"/>
      <c r="N872" s="122"/>
      <c r="O872" s="122"/>
      <c r="P872" s="122"/>
      <c r="Q872" s="122"/>
      <c r="R872" s="122"/>
      <c r="S872" s="122"/>
      <c r="T872" s="122"/>
      <c r="U872" s="122"/>
      <c r="V872" s="122"/>
      <c r="W872" s="122"/>
      <c r="X872" s="122"/>
      <c r="Y872" s="122"/>
    </row>
    <row r="873" spans="1:25" ht="15.75" customHeight="1" x14ac:dyDescent="0.2">
      <c r="A873" s="181"/>
      <c r="B873" s="174"/>
      <c r="C873" s="175"/>
      <c r="D873" s="175"/>
      <c r="E873" s="175"/>
      <c r="F873" s="122"/>
      <c r="G873" s="122"/>
      <c r="H873" s="122"/>
      <c r="I873" s="122"/>
      <c r="J873" s="173"/>
      <c r="K873" s="181"/>
      <c r="L873" s="122"/>
      <c r="M873" s="122"/>
      <c r="N873" s="122"/>
      <c r="O873" s="122"/>
      <c r="P873" s="122"/>
      <c r="Q873" s="122"/>
      <c r="R873" s="122"/>
      <c r="S873" s="122"/>
      <c r="T873" s="122"/>
      <c r="U873" s="122"/>
      <c r="V873" s="122"/>
      <c r="W873" s="122"/>
      <c r="X873" s="122"/>
      <c r="Y873" s="122"/>
    </row>
    <row r="874" spans="1:25" ht="15.75" customHeight="1" x14ac:dyDescent="0.2">
      <c r="A874" s="181"/>
      <c r="B874" s="174"/>
      <c r="C874" s="175"/>
      <c r="D874" s="175"/>
      <c r="E874" s="175"/>
      <c r="F874" s="122"/>
      <c r="G874" s="122"/>
      <c r="H874" s="122"/>
      <c r="I874" s="122"/>
      <c r="J874" s="173"/>
      <c r="K874" s="181"/>
      <c r="L874" s="122"/>
      <c r="M874" s="122"/>
      <c r="N874" s="122"/>
      <c r="O874" s="122"/>
      <c r="P874" s="122"/>
      <c r="Q874" s="122"/>
      <c r="R874" s="122"/>
      <c r="S874" s="122"/>
      <c r="T874" s="122"/>
      <c r="U874" s="122"/>
      <c r="V874" s="122"/>
      <c r="W874" s="122"/>
      <c r="X874" s="122"/>
      <c r="Y874" s="122"/>
    </row>
    <row r="875" spans="1:25" ht="15.75" customHeight="1" x14ac:dyDescent="0.2">
      <c r="A875" s="181"/>
      <c r="B875" s="174"/>
      <c r="C875" s="175"/>
      <c r="D875" s="175"/>
      <c r="E875" s="175"/>
      <c r="F875" s="122"/>
      <c r="G875" s="122"/>
      <c r="H875" s="122"/>
      <c r="I875" s="122"/>
      <c r="J875" s="173"/>
      <c r="K875" s="181"/>
      <c r="L875" s="122"/>
      <c r="M875" s="122"/>
      <c r="N875" s="122"/>
      <c r="O875" s="122"/>
      <c r="P875" s="122"/>
      <c r="Q875" s="122"/>
      <c r="R875" s="122"/>
      <c r="S875" s="122"/>
      <c r="T875" s="122"/>
      <c r="U875" s="122"/>
      <c r="V875" s="122"/>
      <c r="W875" s="122"/>
      <c r="X875" s="122"/>
      <c r="Y875" s="122"/>
    </row>
    <row r="876" spans="1:25" ht="15.75" customHeight="1" x14ac:dyDescent="0.2">
      <c r="A876" s="181"/>
      <c r="B876" s="174"/>
      <c r="C876" s="175"/>
      <c r="D876" s="175"/>
      <c r="E876" s="175"/>
      <c r="F876" s="122"/>
      <c r="G876" s="122"/>
      <c r="H876" s="122"/>
      <c r="I876" s="122"/>
      <c r="J876" s="173"/>
      <c r="K876" s="181"/>
      <c r="L876" s="122"/>
      <c r="M876" s="122"/>
      <c r="N876" s="122"/>
      <c r="O876" s="122"/>
      <c r="P876" s="122"/>
      <c r="Q876" s="122"/>
      <c r="R876" s="122"/>
      <c r="S876" s="122"/>
      <c r="T876" s="122"/>
      <c r="U876" s="122"/>
      <c r="V876" s="122"/>
      <c r="W876" s="122"/>
      <c r="X876" s="122"/>
      <c r="Y876" s="122"/>
    </row>
    <row r="877" spans="1:25" ht="15.75" customHeight="1" x14ac:dyDescent="0.2">
      <c r="A877" s="181"/>
      <c r="B877" s="174"/>
      <c r="C877" s="175"/>
      <c r="D877" s="175"/>
      <c r="E877" s="175"/>
      <c r="F877" s="122"/>
      <c r="G877" s="122"/>
      <c r="H877" s="122"/>
      <c r="I877" s="122"/>
      <c r="J877" s="173"/>
      <c r="K877" s="181"/>
      <c r="L877" s="122"/>
      <c r="M877" s="122"/>
      <c r="N877" s="122"/>
      <c r="O877" s="122"/>
      <c r="P877" s="122"/>
      <c r="Q877" s="122"/>
      <c r="R877" s="122"/>
      <c r="S877" s="122"/>
      <c r="T877" s="122"/>
      <c r="U877" s="122"/>
      <c r="V877" s="122"/>
      <c r="W877" s="122"/>
      <c r="X877" s="122"/>
      <c r="Y877" s="122"/>
    </row>
    <row r="878" spans="1:25" ht="15.75" customHeight="1" x14ac:dyDescent="0.2">
      <c r="A878" s="181"/>
      <c r="B878" s="174"/>
      <c r="C878" s="175"/>
      <c r="D878" s="175"/>
      <c r="E878" s="175"/>
      <c r="F878" s="122"/>
      <c r="G878" s="122"/>
      <c r="H878" s="122"/>
      <c r="I878" s="122"/>
      <c r="J878" s="173"/>
      <c r="K878" s="181"/>
      <c r="L878" s="122"/>
      <c r="M878" s="122"/>
      <c r="N878" s="122"/>
      <c r="O878" s="122"/>
      <c r="P878" s="122"/>
      <c r="Q878" s="122"/>
      <c r="R878" s="122"/>
      <c r="S878" s="122"/>
      <c r="T878" s="122"/>
      <c r="U878" s="122"/>
      <c r="V878" s="122"/>
      <c r="W878" s="122"/>
      <c r="X878" s="122"/>
      <c r="Y878" s="122"/>
    </row>
    <row r="879" spans="1:25" ht="15.75" customHeight="1" x14ac:dyDescent="0.2">
      <c r="A879" s="181"/>
      <c r="B879" s="174"/>
      <c r="C879" s="175"/>
      <c r="D879" s="175"/>
      <c r="E879" s="175"/>
      <c r="F879" s="122"/>
      <c r="G879" s="122"/>
      <c r="H879" s="122"/>
      <c r="I879" s="122"/>
      <c r="J879" s="173"/>
      <c r="K879" s="181"/>
      <c r="L879" s="122"/>
      <c r="M879" s="122"/>
      <c r="N879" s="122"/>
      <c r="O879" s="122"/>
      <c r="P879" s="122"/>
      <c r="Q879" s="122"/>
      <c r="R879" s="122"/>
      <c r="S879" s="122"/>
      <c r="T879" s="122"/>
      <c r="U879" s="122"/>
      <c r="V879" s="122"/>
      <c r="W879" s="122"/>
      <c r="X879" s="122"/>
      <c r="Y879" s="122"/>
    </row>
    <row r="880" spans="1:25" ht="15.75" customHeight="1" x14ac:dyDescent="0.2">
      <c r="A880" s="181"/>
      <c r="B880" s="174"/>
      <c r="C880" s="175"/>
      <c r="D880" s="175"/>
      <c r="E880" s="175"/>
      <c r="F880" s="122"/>
      <c r="G880" s="122"/>
      <c r="H880" s="122"/>
      <c r="I880" s="122"/>
      <c r="J880" s="173"/>
      <c r="K880" s="181"/>
      <c r="L880" s="122"/>
      <c r="M880" s="122"/>
      <c r="N880" s="122"/>
      <c r="O880" s="122"/>
      <c r="P880" s="122"/>
      <c r="Q880" s="122"/>
      <c r="R880" s="122"/>
      <c r="S880" s="122"/>
      <c r="T880" s="122"/>
      <c r="U880" s="122"/>
      <c r="V880" s="122"/>
      <c r="W880" s="122"/>
      <c r="X880" s="122"/>
      <c r="Y880" s="122"/>
    </row>
    <row r="881" spans="1:25" ht="15.75" customHeight="1" x14ac:dyDescent="0.2">
      <c r="A881" s="181"/>
      <c r="B881" s="174"/>
      <c r="C881" s="175"/>
      <c r="D881" s="175"/>
      <c r="E881" s="175"/>
      <c r="F881" s="122"/>
      <c r="G881" s="122"/>
      <c r="H881" s="122"/>
      <c r="I881" s="122"/>
      <c r="J881" s="173"/>
      <c r="K881" s="181"/>
      <c r="L881" s="122"/>
      <c r="M881" s="122"/>
      <c r="N881" s="122"/>
      <c r="O881" s="122"/>
      <c r="P881" s="122"/>
      <c r="Q881" s="122"/>
      <c r="R881" s="122"/>
      <c r="S881" s="122"/>
      <c r="T881" s="122"/>
      <c r="U881" s="122"/>
      <c r="V881" s="122"/>
      <c r="W881" s="122"/>
      <c r="X881" s="122"/>
      <c r="Y881" s="122"/>
    </row>
    <row r="882" spans="1:25" ht="15.75" customHeight="1" x14ac:dyDescent="0.2">
      <c r="A882" s="181"/>
      <c r="B882" s="174"/>
      <c r="C882" s="175"/>
      <c r="D882" s="175"/>
      <c r="E882" s="175"/>
      <c r="F882" s="122"/>
      <c r="G882" s="122"/>
      <c r="H882" s="122"/>
      <c r="I882" s="122"/>
      <c r="J882" s="173"/>
      <c r="K882" s="181"/>
      <c r="L882" s="122"/>
      <c r="M882" s="122"/>
      <c r="N882" s="122"/>
      <c r="O882" s="122"/>
      <c r="P882" s="122"/>
      <c r="Q882" s="122"/>
      <c r="R882" s="122"/>
      <c r="S882" s="122"/>
      <c r="T882" s="122"/>
      <c r="U882" s="122"/>
      <c r="V882" s="122"/>
      <c r="W882" s="122"/>
      <c r="X882" s="122"/>
      <c r="Y882" s="122"/>
    </row>
    <row r="883" spans="1:25" ht="15.75" customHeight="1" x14ac:dyDescent="0.2">
      <c r="A883" s="181"/>
      <c r="B883" s="174"/>
      <c r="C883" s="175"/>
      <c r="D883" s="175"/>
      <c r="E883" s="175"/>
      <c r="F883" s="122"/>
      <c r="G883" s="122"/>
      <c r="H883" s="122"/>
      <c r="I883" s="122"/>
      <c r="J883" s="173"/>
      <c r="K883" s="181"/>
      <c r="L883" s="122"/>
      <c r="M883" s="122"/>
      <c r="N883" s="122"/>
      <c r="O883" s="122"/>
      <c r="P883" s="122"/>
      <c r="Q883" s="122"/>
      <c r="R883" s="122"/>
      <c r="S883" s="122"/>
      <c r="T883" s="122"/>
      <c r="U883" s="122"/>
      <c r="V883" s="122"/>
      <c r="W883" s="122"/>
      <c r="X883" s="122"/>
      <c r="Y883" s="122"/>
    </row>
    <row r="884" spans="1:25" ht="15.75" customHeight="1" x14ac:dyDescent="0.2">
      <c r="A884" s="181"/>
      <c r="B884" s="174"/>
      <c r="C884" s="175"/>
      <c r="D884" s="175"/>
      <c r="E884" s="175"/>
      <c r="F884" s="122"/>
      <c r="G884" s="122"/>
      <c r="H884" s="122"/>
      <c r="I884" s="122"/>
      <c r="J884" s="173"/>
      <c r="K884" s="181"/>
      <c r="L884" s="122"/>
      <c r="M884" s="122"/>
      <c r="N884" s="122"/>
      <c r="O884" s="122"/>
      <c r="P884" s="122"/>
      <c r="Q884" s="122"/>
      <c r="R884" s="122"/>
      <c r="S884" s="122"/>
      <c r="T884" s="122"/>
      <c r="U884" s="122"/>
      <c r="V884" s="122"/>
      <c r="W884" s="122"/>
      <c r="X884" s="122"/>
      <c r="Y884" s="122"/>
    </row>
    <row r="885" spans="1:25" ht="15.75" customHeight="1" x14ac:dyDescent="0.2">
      <c r="A885" s="181"/>
      <c r="B885" s="174"/>
      <c r="C885" s="175"/>
      <c r="D885" s="175"/>
      <c r="E885" s="175"/>
      <c r="F885" s="122"/>
      <c r="G885" s="122"/>
      <c r="H885" s="122"/>
      <c r="I885" s="122"/>
      <c r="J885" s="173"/>
      <c r="K885" s="181"/>
      <c r="L885" s="122"/>
      <c r="M885" s="122"/>
      <c r="N885" s="122"/>
      <c r="O885" s="122"/>
      <c r="P885" s="122"/>
      <c r="Q885" s="122"/>
      <c r="R885" s="122"/>
      <c r="S885" s="122"/>
      <c r="T885" s="122"/>
      <c r="U885" s="122"/>
      <c r="V885" s="122"/>
      <c r="W885" s="122"/>
      <c r="X885" s="122"/>
      <c r="Y885" s="122"/>
    </row>
    <row r="886" spans="1:25" ht="15.75" customHeight="1" x14ac:dyDescent="0.2">
      <c r="A886" s="181"/>
      <c r="B886" s="174"/>
      <c r="C886" s="175"/>
      <c r="D886" s="175"/>
      <c r="E886" s="175"/>
      <c r="F886" s="122"/>
      <c r="G886" s="122"/>
      <c r="H886" s="122"/>
      <c r="I886" s="122"/>
      <c r="J886" s="173"/>
      <c r="K886" s="181"/>
      <c r="L886" s="122"/>
      <c r="M886" s="122"/>
      <c r="N886" s="122"/>
      <c r="O886" s="122"/>
      <c r="P886" s="122"/>
      <c r="Q886" s="122"/>
      <c r="R886" s="122"/>
      <c r="S886" s="122"/>
      <c r="T886" s="122"/>
      <c r="U886" s="122"/>
      <c r="V886" s="122"/>
      <c r="W886" s="122"/>
      <c r="X886" s="122"/>
      <c r="Y886" s="122"/>
    </row>
    <row r="887" spans="1:25" ht="15.75" customHeight="1" x14ac:dyDescent="0.2">
      <c r="A887" s="181"/>
      <c r="B887" s="174"/>
      <c r="C887" s="175"/>
      <c r="D887" s="175"/>
      <c r="E887" s="175"/>
      <c r="F887" s="122"/>
      <c r="G887" s="122"/>
      <c r="H887" s="122"/>
      <c r="I887" s="122"/>
      <c r="J887" s="173"/>
      <c r="K887" s="181"/>
      <c r="L887" s="122"/>
      <c r="M887" s="122"/>
      <c r="N887" s="122"/>
      <c r="O887" s="122"/>
      <c r="P887" s="122"/>
      <c r="Q887" s="122"/>
      <c r="R887" s="122"/>
      <c r="S887" s="122"/>
      <c r="T887" s="122"/>
      <c r="U887" s="122"/>
      <c r="V887" s="122"/>
      <c r="W887" s="122"/>
      <c r="X887" s="122"/>
      <c r="Y887" s="122"/>
    </row>
    <row r="888" spans="1:25" ht="15.75" customHeight="1" x14ac:dyDescent="0.2">
      <c r="A888" s="181"/>
      <c r="B888" s="174"/>
      <c r="C888" s="175"/>
      <c r="D888" s="175"/>
      <c r="E888" s="175"/>
      <c r="F888" s="122"/>
      <c r="G888" s="122"/>
      <c r="H888" s="122"/>
      <c r="I888" s="122"/>
      <c r="J888" s="173"/>
      <c r="K888" s="181"/>
      <c r="L888" s="122"/>
      <c r="M888" s="122"/>
      <c r="N888" s="122"/>
      <c r="O888" s="122"/>
      <c r="P888" s="122"/>
      <c r="Q888" s="122"/>
      <c r="R888" s="122"/>
      <c r="S888" s="122"/>
      <c r="T888" s="122"/>
      <c r="U888" s="122"/>
      <c r="V888" s="122"/>
      <c r="W888" s="122"/>
      <c r="X888" s="122"/>
      <c r="Y888" s="122"/>
    </row>
    <row r="889" spans="1:25" ht="15.75" customHeight="1" x14ac:dyDescent="0.2">
      <c r="A889" s="181"/>
      <c r="B889" s="174"/>
      <c r="C889" s="175"/>
      <c r="D889" s="175"/>
      <c r="E889" s="175"/>
      <c r="F889" s="122"/>
      <c r="G889" s="122"/>
      <c r="H889" s="122"/>
      <c r="I889" s="122"/>
      <c r="J889" s="173"/>
      <c r="K889" s="181"/>
      <c r="L889" s="122"/>
      <c r="M889" s="122"/>
      <c r="N889" s="122"/>
      <c r="O889" s="122"/>
      <c r="P889" s="122"/>
      <c r="Q889" s="122"/>
      <c r="R889" s="122"/>
      <c r="S889" s="122"/>
      <c r="T889" s="122"/>
      <c r="U889" s="122"/>
      <c r="V889" s="122"/>
      <c r="W889" s="122"/>
      <c r="X889" s="122"/>
      <c r="Y889" s="122"/>
    </row>
    <row r="890" spans="1:25" ht="15.75" customHeight="1" x14ac:dyDescent="0.2">
      <c r="A890" s="181"/>
      <c r="B890" s="174"/>
      <c r="C890" s="175"/>
      <c r="D890" s="175"/>
      <c r="E890" s="175"/>
      <c r="F890" s="122"/>
      <c r="G890" s="122"/>
      <c r="H890" s="122"/>
      <c r="I890" s="122"/>
      <c r="J890" s="173"/>
      <c r="K890" s="181"/>
      <c r="L890" s="122"/>
      <c r="M890" s="122"/>
      <c r="N890" s="122"/>
      <c r="O890" s="122"/>
      <c r="P890" s="122"/>
      <c r="Q890" s="122"/>
      <c r="R890" s="122"/>
      <c r="S890" s="122"/>
      <c r="T890" s="122"/>
      <c r="U890" s="122"/>
      <c r="V890" s="122"/>
      <c r="W890" s="122"/>
      <c r="X890" s="122"/>
      <c r="Y890" s="122"/>
    </row>
    <row r="891" spans="1:25" ht="15.75" customHeight="1" x14ac:dyDescent="0.2">
      <c r="A891" s="181"/>
      <c r="B891" s="174"/>
      <c r="C891" s="175"/>
      <c r="D891" s="175"/>
      <c r="E891" s="175"/>
      <c r="F891" s="122"/>
      <c r="G891" s="122"/>
      <c r="H891" s="122"/>
      <c r="I891" s="122"/>
      <c r="J891" s="173"/>
      <c r="K891" s="181"/>
      <c r="L891" s="122"/>
      <c r="M891" s="122"/>
      <c r="N891" s="122"/>
      <c r="O891" s="122"/>
      <c r="P891" s="122"/>
      <c r="Q891" s="122"/>
      <c r="R891" s="122"/>
      <c r="S891" s="122"/>
      <c r="T891" s="122"/>
      <c r="U891" s="122"/>
      <c r="V891" s="122"/>
      <c r="W891" s="122"/>
      <c r="X891" s="122"/>
      <c r="Y891" s="122"/>
    </row>
    <row r="892" spans="1:25" ht="15.75" customHeight="1" x14ac:dyDescent="0.2">
      <c r="A892" s="181"/>
      <c r="B892" s="174"/>
      <c r="C892" s="175"/>
      <c r="D892" s="175"/>
      <c r="E892" s="175"/>
      <c r="F892" s="122"/>
      <c r="G892" s="122"/>
      <c r="H892" s="122"/>
      <c r="I892" s="122"/>
      <c r="J892" s="173"/>
      <c r="K892" s="181"/>
      <c r="L892" s="122"/>
      <c r="M892" s="122"/>
      <c r="N892" s="122"/>
      <c r="O892" s="122"/>
      <c r="P892" s="122"/>
      <c r="Q892" s="122"/>
      <c r="R892" s="122"/>
      <c r="S892" s="122"/>
      <c r="T892" s="122"/>
      <c r="U892" s="122"/>
      <c r="V892" s="122"/>
      <c r="W892" s="122"/>
      <c r="X892" s="122"/>
      <c r="Y892" s="122"/>
    </row>
    <row r="893" spans="1:25" ht="15.75" customHeight="1" x14ac:dyDescent="0.2">
      <c r="A893" s="181"/>
      <c r="B893" s="174"/>
      <c r="C893" s="175"/>
      <c r="D893" s="175"/>
      <c r="E893" s="175"/>
      <c r="F893" s="122"/>
      <c r="G893" s="122"/>
      <c r="H893" s="122"/>
      <c r="I893" s="122"/>
      <c r="J893" s="173"/>
      <c r="K893" s="181"/>
      <c r="L893" s="122"/>
      <c r="M893" s="122"/>
      <c r="N893" s="122"/>
      <c r="O893" s="122"/>
      <c r="P893" s="122"/>
      <c r="Q893" s="122"/>
      <c r="R893" s="122"/>
      <c r="S893" s="122"/>
      <c r="T893" s="122"/>
      <c r="U893" s="122"/>
      <c r="V893" s="122"/>
      <c r="W893" s="122"/>
      <c r="X893" s="122"/>
      <c r="Y893" s="122"/>
    </row>
    <row r="894" spans="1:25" ht="15.75" customHeight="1" x14ac:dyDescent="0.2">
      <c r="A894" s="181"/>
      <c r="B894" s="174"/>
      <c r="C894" s="175"/>
      <c r="D894" s="175"/>
      <c r="E894" s="175"/>
      <c r="F894" s="122"/>
      <c r="G894" s="122"/>
      <c r="H894" s="122"/>
      <c r="I894" s="122"/>
      <c r="J894" s="173"/>
      <c r="K894" s="181"/>
      <c r="L894" s="122"/>
      <c r="M894" s="122"/>
      <c r="N894" s="122"/>
      <c r="O894" s="122"/>
      <c r="P894" s="122"/>
      <c r="Q894" s="122"/>
      <c r="R894" s="122"/>
      <c r="S894" s="122"/>
      <c r="T894" s="122"/>
      <c r="U894" s="122"/>
      <c r="V894" s="122"/>
      <c r="W894" s="122"/>
      <c r="X894" s="122"/>
      <c r="Y894" s="122"/>
    </row>
    <row r="895" spans="1:25" ht="15.75" customHeight="1" x14ac:dyDescent="0.2">
      <c r="A895" s="181"/>
      <c r="B895" s="174"/>
      <c r="C895" s="175"/>
      <c r="D895" s="175"/>
      <c r="E895" s="175"/>
      <c r="F895" s="122"/>
      <c r="G895" s="122"/>
      <c r="H895" s="122"/>
      <c r="I895" s="122"/>
      <c r="J895" s="173"/>
      <c r="K895" s="181"/>
      <c r="L895" s="122"/>
      <c r="M895" s="122"/>
      <c r="N895" s="122"/>
      <c r="O895" s="122"/>
      <c r="P895" s="122"/>
      <c r="Q895" s="122"/>
      <c r="R895" s="122"/>
      <c r="S895" s="122"/>
      <c r="T895" s="122"/>
      <c r="U895" s="122"/>
      <c r="V895" s="122"/>
      <c r="W895" s="122"/>
      <c r="X895" s="122"/>
      <c r="Y895" s="122"/>
    </row>
    <row r="896" spans="1:25" ht="15.75" customHeight="1" x14ac:dyDescent="0.2">
      <c r="A896" s="181"/>
      <c r="B896" s="174"/>
      <c r="C896" s="175"/>
      <c r="D896" s="175"/>
      <c r="E896" s="175"/>
      <c r="F896" s="122"/>
      <c r="G896" s="122"/>
      <c r="H896" s="122"/>
      <c r="I896" s="122"/>
      <c r="J896" s="173"/>
      <c r="K896" s="181"/>
      <c r="L896" s="122"/>
      <c r="M896" s="122"/>
      <c r="N896" s="122"/>
      <c r="O896" s="122"/>
      <c r="P896" s="122"/>
      <c r="Q896" s="122"/>
      <c r="R896" s="122"/>
      <c r="S896" s="122"/>
      <c r="T896" s="122"/>
      <c r="U896" s="122"/>
      <c r="V896" s="122"/>
      <c r="W896" s="122"/>
      <c r="X896" s="122"/>
      <c r="Y896" s="122"/>
    </row>
    <row r="897" spans="1:25" ht="15.75" customHeight="1" x14ac:dyDescent="0.2">
      <c r="A897" s="181"/>
      <c r="B897" s="174"/>
      <c r="C897" s="175"/>
      <c r="D897" s="175"/>
      <c r="E897" s="175"/>
      <c r="F897" s="122"/>
      <c r="G897" s="122"/>
      <c r="H897" s="122"/>
      <c r="I897" s="122"/>
      <c r="J897" s="173"/>
      <c r="K897" s="181"/>
      <c r="L897" s="122"/>
      <c r="M897" s="122"/>
      <c r="N897" s="122"/>
      <c r="O897" s="122"/>
      <c r="P897" s="122"/>
      <c r="Q897" s="122"/>
      <c r="R897" s="122"/>
      <c r="S897" s="122"/>
      <c r="T897" s="122"/>
      <c r="U897" s="122"/>
      <c r="V897" s="122"/>
      <c r="W897" s="122"/>
      <c r="X897" s="122"/>
      <c r="Y897" s="122"/>
    </row>
    <row r="898" spans="1:25" ht="15.75" customHeight="1" x14ac:dyDescent="0.2">
      <c r="A898" s="181"/>
      <c r="B898" s="174"/>
      <c r="C898" s="175"/>
      <c r="D898" s="175"/>
      <c r="E898" s="175"/>
      <c r="F898" s="122"/>
      <c r="G898" s="122"/>
      <c r="H898" s="122"/>
      <c r="I898" s="122"/>
      <c r="J898" s="173"/>
      <c r="K898" s="181"/>
      <c r="L898" s="122"/>
      <c r="M898" s="122"/>
      <c r="N898" s="122"/>
      <c r="O898" s="122"/>
      <c r="P898" s="122"/>
      <c r="Q898" s="122"/>
      <c r="R898" s="122"/>
      <c r="S898" s="122"/>
      <c r="T898" s="122"/>
      <c r="U898" s="122"/>
      <c r="V898" s="122"/>
      <c r="W898" s="122"/>
      <c r="X898" s="122"/>
      <c r="Y898" s="122"/>
    </row>
    <row r="899" spans="1:25" ht="15.75" customHeight="1" x14ac:dyDescent="0.2">
      <c r="A899" s="181"/>
      <c r="B899" s="174"/>
      <c r="C899" s="175"/>
      <c r="D899" s="175"/>
      <c r="E899" s="175"/>
      <c r="F899" s="122"/>
      <c r="G899" s="122"/>
      <c r="H899" s="122"/>
      <c r="I899" s="122"/>
      <c r="J899" s="173"/>
      <c r="K899" s="181"/>
      <c r="L899" s="122"/>
      <c r="M899" s="122"/>
      <c r="N899" s="122"/>
      <c r="O899" s="122"/>
      <c r="P899" s="122"/>
      <c r="Q899" s="122"/>
      <c r="R899" s="122"/>
      <c r="S899" s="122"/>
      <c r="T899" s="122"/>
      <c r="U899" s="122"/>
      <c r="V899" s="122"/>
      <c r="W899" s="122"/>
      <c r="X899" s="122"/>
      <c r="Y899" s="122"/>
    </row>
    <row r="900" spans="1:25" ht="15.75" customHeight="1" x14ac:dyDescent="0.2">
      <c r="A900" s="181"/>
      <c r="B900" s="174"/>
      <c r="C900" s="175"/>
      <c r="D900" s="175"/>
      <c r="E900" s="175"/>
      <c r="F900" s="122"/>
      <c r="G900" s="122"/>
      <c r="H900" s="122"/>
      <c r="I900" s="122"/>
      <c r="J900" s="173"/>
      <c r="K900" s="181"/>
      <c r="L900" s="122"/>
      <c r="M900" s="122"/>
      <c r="N900" s="122"/>
      <c r="O900" s="122"/>
      <c r="P900" s="122"/>
      <c r="Q900" s="122"/>
      <c r="R900" s="122"/>
      <c r="S900" s="122"/>
      <c r="T900" s="122"/>
      <c r="U900" s="122"/>
      <c r="V900" s="122"/>
      <c r="W900" s="122"/>
      <c r="X900" s="122"/>
      <c r="Y900" s="122"/>
    </row>
    <row r="901" spans="1:25" ht="15.75" customHeight="1" x14ac:dyDescent="0.2">
      <c r="A901" s="181"/>
      <c r="B901" s="174"/>
      <c r="C901" s="175"/>
      <c r="D901" s="175"/>
      <c r="E901" s="175"/>
      <c r="F901" s="122"/>
      <c r="G901" s="122"/>
      <c r="H901" s="122"/>
      <c r="I901" s="122"/>
      <c r="J901" s="173"/>
      <c r="K901" s="181"/>
      <c r="L901" s="122"/>
      <c r="M901" s="122"/>
      <c r="N901" s="122"/>
      <c r="O901" s="122"/>
      <c r="P901" s="122"/>
      <c r="Q901" s="122"/>
      <c r="R901" s="122"/>
      <c r="S901" s="122"/>
      <c r="T901" s="122"/>
      <c r="U901" s="122"/>
      <c r="V901" s="122"/>
      <c r="W901" s="122"/>
      <c r="X901" s="122"/>
      <c r="Y901" s="122"/>
    </row>
    <row r="902" spans="1:25" ht="15.75" customHeight="1" x14ac:dyDescent="0.2">
      <c r="A902" s="181"/>
      <c r="B902" s="174"/>
      <c r="C902" s="175"/>
      <c r="D902" s="175"/>
      <c r="E902" s="175"/>
      <c r="F902" s="122"/>
      <c r="G902" s="122"/>
      <c r="H902" s="122"/>
      <c r="I902" s="122"/>
      <c r="J902" s="173"/>
      <c r="K902" s="181"/>
      <c r="L902" s="122"/>
      <c r="M902" s="122"/>
      <c r="N902" s="122"/>
      <c r="O902" s="122"/>
      <c r="P902" s="122"/>
      <c r="Q902" s="122"/>
      <c r="R902" s="122"/>
      <c r="S902" s="122"/>
      <c r="T902" s="122"/>
      <c r="U902" s="122"/>
      <c r="V902" s="122"/>
      <c r="W902" s="122"/>
      <c r="X902" s="122"/>
      <c r="Y902" s="122"/>
    </row>
    <row r="903" spans="1:25" ht="15.75" customHeight="1" x14ac:dyDescent="0.2">
      <c r="A903" s="181"/>
      <c r="B903" s="174"/>
      <c r="C903" s="175"/>
      <c r="D903" s="175"/>
      <c r="E903" s="175"/>
      <c r="F903" s="122"/>
      <c r="G903" s="122"/>
      <c r="H903" s="122"/>
      <c r="I903" s="122"/>
      <c r="J903" s="173"/>
      <c r="K903" s="181"/>
      <c r="L903" s="122"/>
      <c r="M903" s="122"/>
      <c r="N903" s="122"/>
      <c r="O903" s="122"/>
      <c r="P903" s="122"/>
      <c r="Q903" s="122"/>
      <c r="R903" s="122"/>
      <c r="S903" s="122"/>
      <c r="T903" s="122"/>
      <c r="U903" s="122"/>
      <c r="V903" s="122"/>
      <c r="W903" s="122"/>
      <c r="X903" s="122"/>
      <c r="Y903" s="122"/>
    </row>
    <row r="904" spans="1:25" ht="15.75" customHeight="1" x14ac:dyDescent="0.2">
      <c r="A904" s="181"/>
      <c r="B904" s="174"/>
      <c r="C904" s="175"/>
      <c r="D904" s="175"/>
      <c r="E904" s="175"/>
      <c r="F904" s="122"/>
      <c r="G904" s="122"/>
      <c r="H904" s="122"/>
      <c r="I904" s="122"/>
      <c r="J904" s="173"/>
      <c r="K904" s="181"/>
      <c r="L904" s="122"/>
      <c r="M904" s="122"/>
      <c r="N904" s="122"/>
      <c r="O904" s="122"/>
      <c r="P904" s="122"/>
      <c r="Q904" s="122"/>
      <c r="R904" s="122"/>
      <c r="S904" s="122"/>
      <c r="T904" s="122"/>
      <c r="U904" s="122"/>
      <c r="V904" s="122"/>
      <c r="W904" s="122"/>
      <c r="X904" s="122"/>
      <c r="Y904" s="122"/>
    </row>
    <row r="905" spans="1:25" ht="15.75" customHeight="1" x14ac:dyDescent="0.2">
      <c r="A905" s="181"/>
      <c r="B905" s="174"/>
      <c r="C905" s="175"/>
      <c r="D905" s="175"/>
      <c r="E905" s="175"/>
      <c r="F905" s="122"/>
      <c r="G905" s="122"/>
      <c r="H905" s="122"/>
      <c r="I905" s="122"/>
      <c r="J905" s="173"/>
      <c r="K905" s="181"/>
      <c r="L905" s="122"/>
      <c r="M905" s="122"/>
      <c r="N905" s="122"/>
      <c r="O905" s="122"/>
      <c r="P905" s="122"/>
      <c r="Q905" s="122"/>
      <c r="R905" s="122"/>
      <c r="S905" s="122"/>
      <c r="T905" s="122"/>
      <c r="U905" s="122"/>
      <c r="V905" s="122"/>
      <c r="W905" s="122"/>
      <c r="X905" s="122"/>
      <c r="Y905" s="122"/>
    </row>
    <row r="906" spans="1:25" ht="15.75" customHeight="1" x14ac:dyDescent="0.2">
      <c r="A906" s="181"/>
      <c r="B906" s="174"/>
      <c r="C906" s="175"/>
      <c r="D906" s="175"/>
      <c r="E906" s="175"/>
      <c r="F906" s="122"/>
      <c r="G906" s="122"/>
      <c r="H906" s="122"/>
      <c r="I906" s="122"/>
      <c r="J906" s="173"/>
      <c r="K906" s="181"/>
      <c r="L906" s="122"/>
      <c r="M906" s="122"/>
      <c r="N906" s="122"/>
      <c r="O906" s="122"/>
      <c r="P906" s="122"/>
      <c r="Q906" s="122"/>
      <c r="R906" s="122"/>
      <c r="S906" s="122"/>
      <c r="T906" s="122"/>
      <c r="U906" s="122"/>
      <c r="V906" s="122"/>
      <c r="W906" s="122"/>
      <c r="X906" s="122"/>
      <c r="Y906" s="122"/>
    </row>
    <row r="907" spans="1:25" ht="15.75" customHeight="1" x14ac:dyDescent="0.2">
      <c r="A907" s="181"/>
      <c r="B907" s="174"/>
      <c r="C907" s="175"/>
      <c r="D907" s="175"/>
      <c r="E907" s="175"/>
      <c r="F907" s="122"/>
      <c r="G907" s="122"/>
      <c r="H907" s="122"/>
      <c r="I907" s="122"/>
      <c r="J907" s="173"/>
      <c r="K907" s="181"/>
      <c r="L907" s="122"/>
      <c r="M907" s="122"/>
      <c r="N907" s="122"/>
      <c r="O907" s="122"/>
      <c r="P907" s="122"/>
      <c r="Q907" s="122"/>
      <c r="R907" s="122"/>
      <c r="S907" s="122"/>
      <c r="T907" s="122"/>
      <c r="U907" s="122"/>
      <c r="V907" s="122"/>
      <c r="W907" s="122"/>
      <c r="X907" s="122"/>
      <c r="Y907" s="122"/>
    </row>
    <row r="908" spans="1:25" ht="15.75" customHeight="1" x14ac:dyDescent="0.2">
      <c r="A908" s="181"/>
      <c r="B908" s="174"/>
      <c r="C908" s="175"/>
      <c r="D908" s="175"/>
      <c r="E908" s="175"/>
      <c r="F908" s="122"/>
      <c r="G908" s="122"/>
      <c r="H908" s="122"/>
      <c r="I908" s="122"/>
      <c r="J908" s="173"/>
      <c r="K908" s="181"/>
      <c r="L908" s="122"/>
      <c r="M908" s="122"/>
      <c r="N908" s="122"/>
      <c r="O908" s="122"/>
      <c r="P908" s="122"/>
      <c r="Q908" s="122"/>
      <c r="R908" s="122"/>
      <c r="S908" s="122"/>
      <c r="T908" s="122"/>
      <c r="U908" s="122"/>
      <c r="V908" s="122"/>
      <c r="W908" s="122"/>
      <c r="X908" s="122"/>
      <c r="Y908" s="122"/>
    </row>
    <row r="909" spans="1:25" ht="15.75" customHeight="1" x14ac:dyDescent="0.2">
      <c r="A909" s="181"/>
      <c r="B909" s="174"/>
      <c r="C909" s="175"/>
      <c r="D909" s="175"/>
      <c r="E909" s="175"/>
      <c r="F909" s="122"/>
      <c r="G909" s="122"/>
      <c r="H909" s="122"/>
      <c r="I909" s="122"/>
      <c r="J909" s="173"/>
      <c r="K909" s="181"/>
      <c r="L909" s="122"/>
      <c r="M909" s="122"/>
      <c r="N909" s="122"/>
      <c r="O909" s="122"/>
      <c r="P909" s="122"/>
      <c r="Q909" s="122"/>
      <c r="R909" s="122"/>
      <c r="S909" s="122"/>
      <c r="T909" s="122"/>
      <c r="U909" s="122"/>
      <c r="V909" s="122"/>
      <c r="W909" s="122"/>
      <c r="X909" s="122"/>
      <c r="Y909" s="122"/>
    </row>
    <row r="910" spans="1:25" ht="15.75" customHeight="1" x14ac:dyDescent="0.2">
      <c r="A910" s="181"/>
      <c r="B910" s="174"/>
      <c r="C910" s="175"/>
      <c r="D910" s="175"/>
      <c r="E910" s="175"/>
      <c r="F910" s="122"/>
      <c r="G910" s="122"/>
      <c r="H910" s="122"/>
      <c r="I910" s="122"/>
      <c r="J910" s="173"/>
      <c r="K910" s="181"/>
      <c r="L910" s="122"/>
      <c r="M910" s="122"/>
      <c r="N910" s="122"/>
      <c r="O910" s="122"/>
      <c r="P910" s="122"/>
      <c r="Q910" s="122"/>
      <c r="R910" s="122"/>
      <c r="S910" s="122"/>
      <c r="T910" s="122"/>
      <c r="U910" s="122"/>
      <c r="V910" s="122"/>
      <c r="W910" s="122"/>
      <c r="X910" s="122"/>
      <c r="Y910" s="122"/>
    </row>
    <row r="911" spans="1:25" ht="15.75" customHeight="1" x14ac:dyDescent="0.2">
      <c r="A911" s="181"/>
      <c r="B911" s="174"/>
      <c r="C911" s="175"/>
      <c r="D911" s="175"/>
      <c r="E911" s="175"/>
      <c r="F911" s="122"/>
      <c r="G911" s="122"/>
      <c r="H911" s="122"/>
      <c r="I911" s="122"/>
      <c r="J911" s="173"/>
      <c r="K911" s="181"/>
      <c r="L911" s="122"/>
      <c r="M911" s="122"/>
      <c r="N911" s="122"/>
      <c r="O911" s="122"/>
      <c r="P911" s="122"/>
      <c r="Q911" s="122"/>
      <c r="R911" s="122"/>
      <c r="S911" s="122"/>
      <c r="T911" s="122"/>
      <c r="U911" s="122"/>
      <c r="V911" s="122"/>
      <c r="W911" s="122"/>
      <c r="X911" s="122"/>
      <c r="Y911" s="122"/>
    </row>
    <row r="912" spans="1:25" ht="15.75" customHeight="1" x14ac:dyDescent="0.2">
      <c r="A912" s="181"/>
      <c r="B912" s="174"/>
      <c r="C912" s="175"/>
      <c r="D912" s="175"/>
      <c r="E912" s="175"/>
      <c r="F912" s="122"/>
      <c r="G912" s="122"/>
      <c r="H912" s="122"/>
      <c r="I912" s="122"/>
      <c r="J912" s="173"/>
      <c r="K912" s="181"/>
      <c r="L912" s="122"/>
      <c r="M912" s="122"/>
      <c r="N912" s="122"/>
      <c r="O912" s="122"/>
      <c r="P912" s="122"/>
      <c r="Q912" s="122"/>
      <c r="R912" s="122"/>
      <c r="S912" s="122"/>
      <c r="T912" s="122"/>
      <c r="U912" s="122"/>
      <c r="V912" s="122"/>
      <c r="W912" s="122"/>
      <c r="X912" s="122"/>
      <c r="Y912" s="122"/>
    </row>
    <row r="913" spans="1:25" ht="15.75" customHeight="1" x14ac:dyDescent="0.2">
      <c r="A913" s="181"/>
      <c r="B913" s="174"/>
      <c r="C913" s="175"/>
      <c r="D913" s="175"/>
      <c r="E913" s="175"/>
      <c r="F913" s="122"/>
      <c r="G913" s="122"/>
      <c r="H913" s="122"/>
      <c r="I913" s="122"/>
      <c r="J913" s="173"/>
      <c r="K913" s="181"/>
      <c r="L913" s="122"/>
      <c r="M913" s="122"/>
      <c r="N913" s="122"/>
      <c r="O913" s="122"/>
      <c r="P913" s="122"/>
      <c r="Q913" s="122"/>
      <c r="R913" s="122"/>
      <c r="S913" s="122"/>
      <c r="T913" s="122"/>
      <c r="U913" s="122"/>
      <c r="V913" s="122"/>
      <c r="W913" s="122"/>
      <c r="X913" s="122"/>
      <c r="Y913" s="122"/>
    </row>
    <row r="914" spans="1:25" ht="15.75" customHeight="1" x14ac:dyDescent="0.2">
      <c r="A914" s="181"/>
      <c r="B914" s="174"/>
      <c r="C914" s="175"/>
      <c r="D914" s="175"/>
      <c r="E914" s="175"/>
      <c r="F914" s="122"/>
      <c r="G914" s="122"/>
      <c r="H914" s="122"/>
      <c r="I914" s="122"/>
      <c r="J914" s="173"/>
      <c r="K914" s="181"/>
      <c r="L914" s="122"/>
      <c r="M914" s="122"/>
      <c r="N914" s="122"/>
      <c r="O914" s="122"/>
      <c r="P914" s="122"/>
      <c r="Q914" s="122"/>
      <c r="R914" s="122"/>
      <c r="S914" s="122"/>
      <c r="T914" s="122"/>
      <c r="U914" s="122"/>
      <c r="V914" s="122"/>
      <c r="W914" s="122"/>
      <c r="X914" s="122"/>
      <c r="Y914" s="122"/>
    </row>
    <row r="915" spans="1:25" ht="15.75" customHeight="1" x14ac:dyDescent="0.2">
      <c r="A915" s="181"/>
      <c r="B915" s="174"/>
      <c r="C915" s="175"/>
      <c r="D915" s="175"/>
      <c r="E915" s="175"/>
      <c r="F915" s="122"/>
      <c r="G915" s="122"/>
      <c r="H915" s="122"/>
      <c r="I915" s="122"/>
      <c r="J915" s="173"/>
      <c r="K915" s="181"/>
      <c r="L915" s="122"/>
      <c r="M915" s="122"/>
      <c r="N915" s="122"/>
      <c r="O915" s="122"/>
      <c r="P915" s="122"/>
      <c r="Q915" s="122"/>
      <c r="R915" s="122"/>
      <c r="S915" s="122"/>
      <c r="T915" s="122"/>
      <c r="U915" s="122"/>
      <c r="V915" s="122"/>
      <c r="W915" s="122"/>
      <c r="X915" s="122"/>
      <c r="Y915" s="122"/>
    </row>
    <row r="916" spans="1:25" ht="15.75" customHeight="1" x14ac:dyDescent="0.2">
      <c r="A916" s="181"/>
      <c r="B916" s="174"/>
      <c r="C916" s="175"/>
      <c r="D916" s="175"/>
      <c r="E916" s="175"/>
      <c r="F916" s="122"/>
      <c r="G916" s="122"/>
      <c r="H916" s="122"/>
      <c r="I916" s="122"/>
      <c r="J916" s="173"/>
      <c r="K916" s="181"/>
      <c r="L916" s="122"/>
      <c r="M916" s="122"/>
      <c r="N916" s="122"/>
      <c r="O916" s="122"/>
      <c r="P916" s="122"/>
      <c r="Q916" s="122"/>
      <c r="R916" s="122"/>
      <c r="S916" s="122"/>
      <c r="T916" s="122"/>
      <c r="U916" s="122"/>
      <c r="V916" s="122"/>
      <c r="W916" s="122"/>
      <c r="X916" s="122"/>
      <c r="Y916" s="122"/>
    </row>
    <row r="917" spans="1:25" ht="15.75" customHeight="1" x14ac:dyDescent="0.2">
      <c r="A917" s="181"/>
      <c r="B917" s="174"/>
      <c r="C917" s="175"/>
      <c r="D917" s="175"/>
      <c r="E917" s="175"/>
      <c r="F917" s="122"/>
      <c r="G917" s="122"/>
      <c r="H917" s="122"/>
      <c r="I917" s="122"/>
      <c r="J917" s="173"/>
      <c r="K917" s="181"/>
      <c r="L917" s="122"/>
      <c r="M917" s="122"/>
      <c r="N917" s="122"/>
      <c r="O917" s="122"/>
      <c r="P917" s="122"/>
      <c r="Q917" s="122"/>
      <c r="R917" s="122"/>
      <c r="S917" s="122"/>
      <c r="T917" s="122"/>
      <c r="U917" s="122"/>
      <c r="V917" s="122"/>
      <c r="W917" s="122"/>
      <c r="X917" s="122"/>
      <c r="Y917" s="122"/>
    </row>
    <row r="918" spans="1:25" ht="15.75" customHeight="1" x14ac:dyDescent="0.2">
      <c r="A918" s="181"/>
      <c r="B918" s="174"/>
      <c r="C918" s="175"/>
      <c r="D918" s="175"/>
      <c r="E918" s="175"/>
      <c r="F918" s="122"/>
      <c r="G918" s="122"/>
      <c r="H918" s="122"/>
      <c r="I918" s="122"/>
      <c r="J918" s="173"/>
      <c r="K918" s="181"/>
      <c r="L918" s="122"/>
      <c r="M918" s="122"/>
      <c r="N918" s="122"/>
      <c r="O918" s="122"/>
      <c r="P918" s="122"/>
      <c r="Q918" s="122"/>
      <c r="R918" s="122"/>
      <c r="S918" s="122"/>
      <c r="T918" s="122"/>
      <c r="U918" s="122"/>
      <c r="V918" s="122"/>
      <c r="W918" s="122"/>
      <c r="X918" s="122"/>
      <c r="Y918" s="122"/>
    </row>
    <row r="919" spans="1:25" ht="15.75" customHeight="1" x14ac:dyDescent="0.2">
      <c r="A919" s="181"/>
      <c r="B919" s="174"/>
      <c r="C919" s="175"/>
      <c r="D919" s="175"/>
      <c r="E919" s="175"/>
      <c r="F919" s="122"/>
      <c r="G919" s="122"/>
      <c r="H919" s="122"/>
      <c r="I919" s="122"/>
      <c r="J919" s="173"/>
      <c r="K919" s="181"/>
      <c r="L919" s="122"/>
      <c r="M919" s="122"/>
      <c r="N919" s="122"/>
      <c r="O919" s="122"/>
      <c r="P919" s="122"/>
      <c r="Q919" s="122"/>
      <c r="R919" s="122"/>
      <c r="S919" s="122"/>
      <c r="T919" s="122"/>
      <c r="U919" s="122"/>
      <c r="V919" s="122"/>
      <c r="W919" s="122"/>
      <c r="X919" s="122"/>
      <c r="Y919" s="122"/>
    </row>
    <row r="920" spans="1:25" ht="15.75" customHeight="1" x14ac:dyDescent="0.2">
      <c r="A920" s="181"/>
      <c r="B920" s="174"/>
      <c r="C920" s="175"/>
      <c r="D920" s="175"/>
      <c r="E920" s="175"/>
      <c r="F920" s="122"/>
      <c r="G920" s="122"/>
      <c r="H920" s="122"/>
      <c r="I920" s="122"/>
      <c r="J920" s="173"/>
      <c r="K920" s="181"/>
      <c r="L920" s="122"/>
      <c r="M920" s="122"/>
      <c r="N920" s="122"/>
      <c r="O920" s="122"/>
      <c r="P920" s="122"/>
      <c r="Q920" s="122"/>
      <c r="R920" s="122"/>
      <c r="S920" s="122"/>
      <c r="T920" s="122"/>
      <c r="U920" s="122"/>
      <c r="V920" s="122"/>
      <c r="W920" s="122"/>
      <c r="X920" s="122"/>
      <c r="Y920" s="122"/>
    </row>
    <row r="921" spans="1:25" ht="15.75" customHeight="1" x14ac:dyDescent="0.2">
      <c r="A921" s="181"/>
      <c r="B921" s="174"/>
      <c r="C921" s="175"/>
      <c r="D921" s="175"/>
      <c r="E921" s="175"/>
      <c r="F921" s="122"/>
      <c r="G921" s="122"/>
      <c r="H921" s="122"/>
      <c r="I921" s="122"/>
      <c r="J921" s="173"/>
      <c r="K921" s="181"/>
      <c r="L921" s="122"/>
      <c r="M921" s="122"/>
      <c r="N921" s="122"/>
      <c r="O921" s="122"/>
      <c r="P921" s="122"/>
      <c r="Q921" s="122"/>
      <c r="R921" s="122"/>
      <c r="S921" s="122"/>
      <c r="T921" s="122"/>
      <c r="U921" s="122"/>
      <c r="V921" s="122"/>
      <c r="W921" s="122"/>
      <c r="X921" s="122"/>
      <c r="Y921" s="122"/>
    </row>
    <row r="922" spans="1:25" ht="15.75" customHeight="1" x14ac:dyDescent="0.2">
      <c r="A922" s="181"/>
      <c r="B922" s="174"/>
      <c r="C922" s="175"/>
      <c r="D922" s="175"/>
      <c r="E922" s="175"/>
      <c r="F922" s="122"/>
      <c r="G922" s="122"/>
      <c r="H922" s="122"/>
      <c r="I922" s="122"/>
      <c r="J922" s="173"/>
      <c r="K922" s="181"/>
      <c r="L922" s="122"/>
      <c r="M922" s="122"/>
      <c r="N922" s="122"/>
      <c r="O922" s="122"/>
      <c r="P922" s="122"/>
      <c r="Q922" s="122"/>
      <c r="R922" s="122"/>
      <c r="S922" s="122"/>
      <c r="T922" s="122"/>
      <c r="U922" s="122"/>
      <c r="V922" s="122"/>
      <c r="W922" s="122"/>
      <c r="X922" s="122"/>
      <c r="Y922" s="122"/>
    </row>
    <row r="923" spans="1:25" ht="15.75" customHeight="1" x14ac:dyDescent="0.2">
      <c r="A923" s="181"/>
      <c r="B923" s="174"/>
      <c r="C923" s="175"/>
      <c r="D923" s="175"/>
      <c r="E923" s="175"/>
      <c r="F923" s="122"/>
      <c r="G923" s="122"/>
      <c r="H923" s="122"/>
      <c r="I923" s="122"/>
      <c r="J923" s="173"/>
      <c r="K923" s="181"/>
      <c r="L923" s="122"/>
      <c r="M923" s="122"/>
      <c r="N923" s="122"/>
      <c r="O923" s="122"/>
      <c r="P923" s="122"/>
      <c r="Q923" s="122"/>
      <c r="R923" s="122"/>
      <c r="S923" s="122"/>
      <c r="T923" s="122"/>
      <c r="U923" s="122"/>
      <c r="V923" s="122"/>
      <c r="W923" s="122"/>
      <c r="X923" s="122"/>
      <c r="Y923" s="122"/>
    </row>
    <row r="924" spans="1:25" ht="15.75" customHeight="1" x14ac:dyDescent="0.2">
      <c r="A924" s="181"/>
      <c r="B924" s="174"/>
      <c r="C924" s="175"/>
      <c r="D924" s="175"/>
      <c r="E924" s="175"/>
      <c r="F924" s="122"/>
      <c r="G924" s="122"/>
      <c r="H924" s="122"/>
      <c r="I924" s="122"/>
      <c r="J924" s="173"/>
      <c r="K924" s="181"/>
      <c r="L924" s="122"/>
      <c r="M924" s="122"/>
      <c r="N924" s="122"/>
      <c r="O924" s="122"/>
      <c r="P924" s="122"/>
      <c r="Q924" s="122"/>
      <c r="R924" s="122"/>
      <c r="S924" s="122"/>
      <c r="T924" s="122"/>
      <c r="U924" s="122"/>
      <c r="V924" s="122"/>
      <c r="W924" s="122"/>
      <c r="X924" s="122"/>
      <c r="Y924" s="122"/>
    </row>
    <row r="925" spans="1:25" ht="15.75" customHeight="1" x14ac:dyDescent="0.2">
      <c r="A925" s="181"/>
      <c r="B925" s="174"/>
      <c r="C925" s="175"/>
      <c r="D925" s="175"/>
      <c r="E925" s="175"/>
      <c r="F925" s="122"/>
      <c r="G925" s="122"/>
      <c r="H925" s="122"/>
      <c r="I925" s="122"/>
      <c r="J925" s="173"/>
      <c r="K925" s="181"/>
      <c r="L925" s="122"/>
      <c r="M925" s="122"/>
      <c r="N925" s="122"/>
      <c r="O925" s="122"/>
      <c r="P925" s="122"/>
      <c r="Q925" s="122"/>
      <c r="R925" s="122"/>
      <c r="S925" s="122"/>
      <c r="T925" s="122"/>
      <c r="U925" s="122"/>
      <c r="V925" s="122"/>
      <c r="W925" s="122"/>
      <c r="X925" s="122"/>
      <c r="Y925" s="122"/>
    </row>
    <row r="926" spans="1:25" ht="15.75" customHeight="1" x14ac:dyDescent="0.2">
      <c r="A926" s="181"/>
      <c r="B926" s="174"/>
      <c r="C926" s="175"/>
      <c r="D926" s="175"/>
      <c r="E926" s="175"/>
      <c r="F926" s="122"/>
      <c r="G926" s="122"/>
      <c r="H926" s="122"/>
      <c r="I926" s="122"/>
      <c r="J926" s="173"/>
      <c r="K926" s="181"/>
      <c r="L926" s="122"/>
      <c r="M926" s="122"/>
      <c r="N926" s="122"/>
      <c r="O926" s="122"/>
      <c r="P926" s="122"/>
      <c r="Q926" s="122"/>
      <c r="R926" s="122"/>
      <c r="S926" s="122"/>
      <c r="T926" s="122"/>
      <c r="U926" s="122"/>
      <c r="V926" s="122"/>
      <c r="W926" s="122"/>
      <c r="X926" s="122"/>
      <c r="Y926" s="122"/>
    </row>
    <row r="927" spans="1:25" ht="15.75" customHeight="1" x14ac:dyDescent="0.2">
      <c r="A927" s="181"/>
      <c r="B927" s="174"/>
      <c r="C927" s="175"/>
      <c r="D927" s="175"/>
      <c r="E927" s="175"/>
      <c r="F927" s="122"/>
      <c r="G927" s="122"/>
      <c r="H927" s="122"/>
      <c r="I927" s="122"/>
      <c r="J927" s="173"/>
      <c r="K927" s="181"/>
      <c r="L927" s="122"/>
      <c r="M927" s="122"/>
      <c r="N927" s="122"/>
      <c r="O927" s="122"/>
      <c r="P927" s="122"/>
      <c r="Q927" s="122"/>
      <c r="R927" s="122"/>
      <c r="S927" s="122"/>
      <c r="T927" s="122"/>
      <c r="U927" s="122"/>
      <c r="V927" s="122"/>
      <c r="W927" s="122"/>
      <c r="X927" s="122"/>
      <c r="Y927" s="122"/>
    </row>
    <row r="928" spans="1:25" ht="15.75" customHeight="1" x14ac:dyDescent="0.2">
      <c r="A928" s="181"/>
      <c r="B928" s="174"/>
      <c r="C928" s="175"/>
      <c r="D928" s="175"/>
      <c r="E928" s="175"/>
      <c r="F928" s="122"/>
      <c r="G928" s="122"/>
      <c r="H928" s="122"/>
      <c r="I928" s="122"/>
      <c r="J928" s="173"/>
      <c r="K928" s="181"/>
      <c r="L928" s="122"/>
      <c r="M928" s="122"/>
      <c r="N928" s="122"/>
      <c r="O928" s="122"/>
      <c r="P928" s="122"/>
      <c r="Q928" s="122"/>
      <c r="R928" s="122"/>
      <c r="S928" s="122"/>
      <c r="T928" s="122"/>
      <c r="U928" s="122"/>
      <c r="V928" s="122"/>
      <c r="W928" s="122"/>
      <c r="X928" s="122"/>
      <c r="Y928" s="122"/>
    </row>
    <row r="929" spans="1:25" ht="15.75" customHeight="1" x14ac:dyDescent="0.2">
      <c r="A929" s="181"/>
      <c r="B929" s="174"/>
      <c r="C929" s="175"/>
      <c r="D929" s="175"/>
      <c r="E929" s="175"/>
      <c r="F929" s="122"/>
      <c r="G929" s="122"/>
      <c r="H929" s="122"/>
      <c r="I929" s="122"/>
      <c r="J929" s="173"/>
      <c r="K929" s="181"/>
      <c r="L929" s="122"/>
      <c r="M929" s="122"/>
      <c r="N929" s="122"/>
      <c r="O929" s="122"/>
      <c r="P929" s="122"/>
      <c r="Q929" s="122"/>
      <c r="R929" s="122"/>
      <c r="S929" s="122"/>
      <c r="T929" s="122"/>
      <c r="U929" s="122"/>
      <c r="V929" s="122"/>
      <c r="W929" s="122"/>
      <c r="X929" s="122"/>
      <c r="Y929" s="122"/>
    </row>
    <row r="930" spans="1:25" ht="15.75" customHeight="1" x14ac:dyDescent="0.2">
      <c r="A930" s="181"/>
      <c r="B930" s="174"/>
      <c r="C930" s="175"/>
      <c r="D930" s="175"/>
      <c r="E930" s="175"/>
      <c r="F930" s="122"/>
      <c r="G930" s="122"/>
      <c r="H930" s="122"/>
      <c r="I930" s="122"/>
      <c r="J930" s="173"/>
      <c r="K930" s="181"/>
      <c r="L930" s="122"/>
      <c r="M930" s="122"/>
      <c r="N930" s="122"/>
      <c r="O930" s="122"/>
      <c r="P930" s="122"/>
      <c r="Q930" s="122"/>
      <c r="R930" s="122"/>
      <c r="S930" s="122"/>
      <c r="T930" s="122"/>
      <c r="U930" s="122"/>
      <c r="V930" s="122"/>
      <c r="W930" s="122"/>
      <c r="X930" s="122"/>
      <c r="Y930" s="122"/>
    </row>
    <row r="931" spans="1:25" ht="15.75" customHeight="1" x14ac:dyDescent="0.2">
      <c r="A931" s="181"/>
      <c r="B931" s="174"/>
      <c r="C931" s="175"/>
      <c r="D931" s="175"/>
      <c r="E931" s="175"/>
      <c r="F931" s="122"/>
      <c r="G931" s="122"/>
      <c r="H931" s="122"/>
      <c r="I931" s="122"/>
      <c r="J931" s="173"/>
      <c r="K931" s="181"/>
      <c r="L931" s="122"/>
      <c r="M931" s="122"/>
      <c r="N931" s="122"/>
      <c r="O931" s="122"/>
      <c r="P931" s="122"/>
      <c r="Q931" s="122"/>
      <c r="R931" s="122"/>
      <c r="S931" s="122"/>
      <c r="T931" s="122"/>
      <c r="U931" s="122"/>
      <c r="V931" s="122"/>
      <c r="W931" s="122"/>
      <c r="X931" s="122"/>
      <c r="Y931" s="122"/>
    </row>
    <row r="932" spans="1:25" ht="15.75" customHeight="1" x14ac:dyDescent="0.2">
      <c r="A932" s="181"/>
      <c r="B932" s="174"/>
      <c r="C932" s="175"/>
      <c r="D932" s="175"/>
      <c r="E932" s="175"/>
      <c r="F932" s="122"/>
      <c r="G932" s="122"/>
      <c r="H932" s="122"/>
      <c r="I932" s="122"/>
      <c r="J932" s="173"/>
      <c r="K932" s="181"/>
      <c r="L932" s="122"/>
      <c r="M932" s="122"/>
      <c r="N932" s="122"/>
      <c r="O932" s="122"/>
      <c r="P932" s="122"/>
      <c r="Q932" s="122"/>
      <c r="R932" s="122"/>
      <c r="S932" s="122"/>
      <c r="T932" s="122"/>
      <c r="U932" s="122"/>
      <c r="V932" s="122"/>
      <c r="W932" s="122"/>
      <c r="X932" s="122"/>
      <c r="Y932" s="122"/>
    </row>
    <row r="933" spans="1:25" ht="15.75" customHeight="1" x14ac:dyDescent="0.2">
      <c r="A933" s="181"/>
      <c r="B933" s="174"/>
      <c r="C933" s="175"/>
      <c r="D933" s="175"/>
      <c r="E933" s="175"/>
      <c r="F933" s="122"/>
      <c r="G933" s="122"/>
      <c r="H933" s="122"/>
      <c r="I933" s="122"/>
      <c r="J933" s="173"/>
      <c r="K933" s="181"/>
      <c r="L933" s="122"/>
      <c r="M933" s="122"/>
      <c r="N933" s="122"/>
      <c r="O933" s="122"/>
      <c r="P933" s="122"/>
      <c r="Q933" s="122"/>
      <c r="R933" s="122"/>
      <c r="S933" s="122"/>
      <c r="T933" s="122"/>
      <c r="U933" s="122"/>
      <c r="V933" s="122"/>
      <c r="W933" s="122"/>
      <c r="X933" s="122"/>
      <c r="Y933" s="122"/>
    </row>
    <row r="934" spans="1:25" ht="15.75" customHeight="1" x14ac:dyDescent="0.2">
      <c r="A934" s="181"/>
      <c r="B934" s="174"/>
      <c r="C934" s="175"/>
      <c r="D934" s="175"/>
      <c r="E934" s="175"/>
      <c r="F934" s="122"/>
      <c r="G934" s="122"/>
      <c r="H934" s="122"/>
      <c r="I934" s="122"/>
      <c r="J934" s="173"/>
      <c r="K934" s="181"/>
      <c r="L934" s="122"/>
      <c r="M934" s="122"/>
      <c r="N934" s="122"/>
      <c r="O934" s="122"/>
      <c r="P934" s="122"/>
      <c r="Q934" s="122"/>
      <c r="R934" s="122"/>
      <c r="S934" s="122"/>
      <c r="T934" s="122"/>
      <c r="U934" s="122"/>
      <c r="V934" s="122"/>
      <c r="W934" s="122"/>
      <c r="X934" s="122"/>
      <c r="Y934" s="122"/>
    </row>
    <row r="935" spans="1:25" ht="15.75" customHeight="1" x14ac:dyDescent="0.2">
      <c r="A935" s="181"/>
      <c r="B935" s="174"/>
      <c r="C935" s="175"/>
      <c r="D935" s="175"/>
      <c r="E935" s="175"/>
      <c r="F935" s="122"/>
      <c r="G935" s="122"/>
      <c r="H935" s="122"/>
      <c r="I935" s="122"/>
      <c r="J935" s="173"/>
      <c r="K935" s="181"/>
      <c r="L935" s="122"/>
      <c r="M935" s="122"/>
      <c r="N935" s="122"/>
      <c r="O935" s="122"/>
      <c r="P935" s="122"/>
      <c r="Q935" s="122"/>
      <c r="R935" s="122"/>
      <c r="S935" s="122"/>
      <c r="T935" s="122"/>
      <c r="U935" s="122"/>
      <c r="V935" s="122"/>
      <c r="W935" s="122"/>
      <c r="X935" s="122"/>
      <c r="Y935" s="122"/>
    </row>
    <row r="936" spans="1:25" ht="15.75" customHeight="1" x14ac:dyDescent="0.2">
      <c r="A936" s="181"/>
      <c r="B936" s="174"/>
      <c r="C936" s="175"/>
      <c r="D936" s="175"/>
      <c r="E936" s="175"/>
      <c r="F936" s="122"/>
      <c r="G936" s="122"/>
      <c r="H936" s="122"/>
      <c r="I936" s="122"/>
      <c r="J936" s="173"/>
      <c r="K936" s="181"/>
      <c r="L936" s="122"/>
      <c r="M936" s="122"/>
      <c r="N936" s="122"/>
      <c r="O936" s="122"/>
      <c r="P936" s="122"/>
      <c r="Q936" s="122"/>
      <c r="R936" s="122"/>
      <c r="S936" s="122"/>
      <c r="T936" s="122"/>
      <c r="U936" s="122"/>
      <c r="V936" s="122"/>
      <c r="W936" s="122"/>
      <c r="X936" s="122"/>
      <c r="Y936" s="122"/>
    </row>
    <row r="937" spans="1:25" ht="15.75" customHeight="1" x14ac:dyDescent="0.2">
      <c r="A937" s="181"/>
      <c r="B937" s="174"/>
      <c r="C937" s="175"/>
      <c r="D937" s="175"/>
      <c r="E937" s="175"/>
      <c r="F937" s="122"/>
      <c r="G937" s="122"/>
      <c r="H937" s="122"/>
      <c r="I937" s="122"/>
      <c r="J937" s="173"/>
      <c r="K937" s="181"/>
      <c r="L937" s="122"/>
      <c r="M937" s="122"/>
      <c r="N937" s="122"/>
      <c r="O937" s="122"/>
      <c r="P937" s="122"/>
      <c r="Q937" s="122"/>
      <c r="R937" s="122"/>
      <c r="S937" s="122"/>
      <c r="T937" s="122"/>
      <c r="U937" s="122"/>
      <c r="V937" s="122"/>
      <c r="W937" s="122"/>
      <c r="X937" s="122"/>
      <c r="Y937" s="122"/>
    </row>
    <row r="938" spans="1:25" ht="15.75" customHeight="1" x14ac:dyDescent="0.2">
      <c r="A938" s="181"/>
      <c r="B938" s="174"/>
      <c r="C938" s="175"/>
      <c r="D938" s="175"/>
      <c r="E938" s="175"/>
      <c r="F938" s="122"/>
      <c r="G938" s="122"/>
      <c r="H938" s="122"/>
      <c r="I938" s="122"/>
      <c r="J938" s="173"/>
      <c r="K938" s="181"/>
      <c r="L938" s="122"/>
      <c r="M938" s="122"/>
      <c r="N938" s="122"/>
      <c r="O938" s="122"/>
      <c r="P938" s="122"/>
      <c r="Q938" s="122"/>
      <c r="R938" s="122"/>
      <c r="S938" s="122"/>
      <c r="T938" s="122"/>
      <c r="U938" s="122"/>
      <c r="V938" s="122"/>
      <c r="W938" s="122"/>
      <c r="X938" s="122"/>
      <c r="Y938" s="122"/>
    </row>
    <row r="939" spans="1:25" ht="15.75" customHeight="1" x14ac:dyDescent="0.2">
      <c r="A939" s="181"/>
      <c r="B939" s="174"/>
      <c r="C939" s="175"/>
      <c r="D939" s="175"/>
      <c r="E939" s="175"/>
      <c r="F939" s="122"/>
      <c r="G939" s="122"/>
      <c r="H939" s="122"/>
      <c r="I939" s="122"/>
      <c r="J939" s="173"/>
      <c r="K939" s="181"/>
      <c r="L939" s="122"/>
      <c r="M939" s="122"/>
      <c r="N939" s="122"/>
      <c r="O939" s="122"/>
      <c r="P939" s="122"/>
      <c r="Q939" s="122"/>
      <c r="R939" s="122"/>
      <c r="S939" s="122"/>
      <c r="T939" s="122"/>
      <c r="U939" s="122"/>
      <c r="V939" s="122"/>
      <c r="W939" s="122"/>
      <c r="X939" s="122"/>
      <c r="Y939" s="122"/>
    </row>
    <row r="940" spans="1:25" ht="15.75" customHeight="1" x14ac:dyDescent="0.2">
      <c r="A940" s="181"/>
      <c r="B940" s="174"/>
      <c r="C940" s="175"/>
      <c r="D940" s="175"/>
      <c r="E940" s="175"/>
      <c r="F940" s="122"/>
      <c r="G940" s="122"/>
      <c r="H940" s="122"/>
      <c r="I940" s="122"/>
      <c r="J940" s="173"/>
      <c r="K940" s="181"/>
      <c r="L940" s="122"/>
      <c r="M940" s="122"/>
      <c r="N940" s="122"/>
      <c r="O940" s="122"/>
      <c r="P940" s="122"/>
      <c r="Q940" s="122"/>
      <c r="R940" s="122"/>
      <c r="S940" s="122"/>
      <c r="T940" s="122"/>
      <c r="U940" s="122"/>
      <c r="V940" s="122"/>
      <c r="W940" s="122"/>
      <c r="X940" s="122"/>
      <c r="Y940" s="122"/>
    </row>
    <row r="941" spans="1:25" ht="15.75" customHeight="1" x14ac:dyDescent="0.2">
      <c r="A941" s="181"/>
      <c r="B941" s="174"/>
      <c r="C941" s="175"/>
      <c r="D941" s="175"/>
      <c r="E941" s="175"/>
      <c r="F941" s="122"/>
      <c r="G941" s="122"/>
      <c r="H941" s="122"/>
      <c r="I941" s="122"/>
      <c r="J941" s="173"/>
      <c r="K941" s="181"/>
      <c r="L941" s="122"/>
      <c r="M941" s="122"/>
      <c r="N941" s="122"/>
      <c r="O941" s="122"/>
      <c r="P941" s="122"/>
      <c r="Q941" s="122"/>
      <c r="R941" s="122"/>
      <c r="S941" s="122"/>
      <c r="T941" s="122"/>
      <c r="U941" s="122"/>
      <c r="V941" s="122"/>
      <c r="W941" s="122"/>
      <c r="X941" s="122"/>
      <c r="Y941" s="122"/>
    </row>
    <row r="942" spans="1:25" ht="15.75" customHeight="1" x14ac:dyDescent="0.2">
      <c r="A942" s="181"/>
      <c r="B942" s="174"/>
      <c r="C942" s="175"/>
      <c r="D942" s="175"/>
      <c r="E942" s="175"/>
      <c r="F942" s="122"/>
      <c r="G942" s="122"/>
      <c r="H942" s="122"/>
      <c r="I942" s="122"/>
      <c r="J942" s="173"/>
      <c r="K942" s="181"/>
      <c r="L942" s="122"/>
      <c r="M942" s="122"/>
      <c r="N942" s="122"/>
      <c r="O942" s="122"/>
      <c r="P942" s="122"/>
      <c r="Q942" s="122"/>
      <c r="R942" s="122"/>
      <c r="S942" s="122"/>
      <c r="T942" s="122"/>
      <c r="U942" s="122"/>
      <c r="V942" s="122"/>
      <c r="W942" s="122"/>
      <c r="X942" s="122"/>
      <c r="Y942" s="122"/>
    </row>
    <row r="943" spans="1:25" ht="15.75" customHeight="1" x14ac:dyDescent="0.2">
      <c r="A943" s="181"/>
      <c r="B943" s="174"/>
      <c r="C943" s="175"/>
      <c r="D943" s="175"/>
      <c r="E943" s="175"/>
      <c r="F943" s="122"/>
      <c r="G943" s="122"/>
      <c r="H943" s="122"/>
      <c r="I943" s="122"/>
      <c r="J943" s="173"/>
      <c r="K943" s="181"/>
      <c r="L943" s="122"/>
      <c r="M943" s="122"/>
      <c r="N943" s="122"/>
      <c r="O943" s="122"/>
      <c r="P943" s="122"/>
      <c r="Q943" s="122"/>
      <c r="R943" s="122"/>
      <c r="S943" s="122"/>
      <c r="T943" s="122"/>
      <c r="U943" s="122"/>
      <c r="V943" s="122"/>
      <c r="W943" s="122"/>
      <c r="X943" s="122"/>
      <c r="Y943" s="122"/>
    </row>
    <row r="944" spans="1:25" ht="15.75" customHeight="1" x14ac:dyDescent="0.2">
      <c r="A944" s="181"/>
      <c r="B944" s="174"/>
      <c r="C944" s="175"/>
      <c r="D944" s="175"/>
      <c r="E944" s="175"/>
      <c r="F944" s="122"/>
      <c r="G944" s="122"/>
      <c r="H944" s="122"/>
      <c r="I944" s="122"/>
      <c r="J944" s="173"/>
      <c r="K944" s="181"/>
      <c r="L944" s="122"/>
      <c r="M944" s="122"/>
      <c r="N944" s="122"/>
      <c r="O944" s="122"/>
      <c r="P944" s="122"/>
      <c r="Q944" s="122"/>
      <c r="R944" s="122"/>
      <c r="S944" s="122"/>
      <c r="T944" s="122"/>
      <c r="U944" s="122"/>
      <c r="V944" s="122"/>
      <c r="W944" s="122"/>
      <c r="X944" s="122"/>
      <c r="Y944" s="122"/>
    </row>
    <row r="945" spans="1:25" ht="15.75" customHeight="1" x14ac:dyDescent="0.2">
      <c r="A945" s="181"/>
      <c r="B945" s="174"/>
      <c r="C945" s="175"/>
      <c r="D945" s="175"/>
      <c r="E945" s="175"/>
      <c r="F945" s="122"/>
      <c r="G945" s="122"/>
      <c r="H945" s="122"/>
      <c r="I945" s="122"/>
      <c r="J945" s="173"/>
      <c r="K945" s="181"/>
      <c r="L945" s="122"/>
      <c r="M945" s="122"/>
      <c r="N945" s="122"/>
      <c r="O945" s="122"/>
      <c r="P945" s="122"/>
      <c r="Q945" s="122"/>
      <c r="R945" s="122"/>
      <c r="S945" s="122"/>
      <c r="T945" s="122"/>
      <c r="U945" s="122"/>
      <c r="V945" s="122"/>
      <c r="W945" s="122"/>
      <c r="X945" s="122"/>
      <c r="Y945" s="122"/>
    </row>
    <row r="946" spans="1:25" ht="15.75" customHeight="1" x14ac:dyDescent="0.2">
      <c r="A946" s="181"/>
      <c r="B946" s="174"/>
      <c r="C946" s="175"/>
      <c r="D946" s="175"/>
      <c r="E946" s="175"/>
      <c r="F946" s="122"/>
      <c r="G946" s="122"/>
      <c r="H946" s="122"/>
      <c r="I946" s="122"/>
      <c r="J946" s="173"/>
      <c r="K946" s="181"/>
      <c r="L946" s="122"/>
      <c r="M946" s="122"/>
      <c r="N946" s="122"/>
      <c r="O946" s="122"/>
      <c r="P946" s="122"/>
      <c r="Q946" s="122"/>
      <c r="R946" s="122"/>
      <c r="S946" s="122"/>
      <c r="T946" s="122"/>
      <c r="U946" s="122"/>
      <c r="V946" s="122"/>
      <c r="W946" s="122"/>
      <c r="X946" s="122"/>
      <c r="Y946" s="122"/>
    </row>
    <row r="947" spans="1:25" ht="15.75" customHeight="1" x14ac:dyDescent="0.2">
      <c r="A947" s="181"/>
      <c r="B947" s="174"/>
      <c r="C947" s="175"/>
      <c r="D947" s="175"/>
      <c r="E947" s="175"/>
      <c r="F947" s="122"/>
      <c r="G947" s="122"/>
      <c r="H947" s="122"/>
      <c r="I947" s="122"/>
      <c r="J947" s="173"/>
      <c r="K947" s="181"/>
      <c r="L947" s="122"/>
      <c r="M947" s="122"/>
      <c r="N947" s="122"/>
      <c r="O947" s="122"/>
      <c r="P947" s="122"/>
      <c r="Q947" s="122"/>
      <c r="R947" s="122"/>
      <c r="S947" s="122"/>
      <c r="T947" s="122"/>
      <c r="U947" s="122"/>
      <c r="V947" s="122"/>
      <c r="W947" s="122"/>
      <c r="X947" s="122"/>
      <c r="Y947" s="122"/>
    </row>
    <row r="948" spans="1:25" ht="15.75" customHeight="1" x14ac:dyDescent="0.2">
      <c r="A948" s="181"/>
      <c r="B948" s="174"/>
      <c r="C948" s="175"/>
      <c r="D948" s="175"/>
      <c r="E948" s="175"/>
      <c r="F948" s="122"/>
      <c r="G948" s="122"/>
      <c r="H948" s="122"/>
      <c r="I948" s="122"/>
      <c r="J948" s="173"/>
      <c r="K948" s="181"/>
      <c r="L948" s="122"/>
      <c r="M948" s="122"/>
      <c r="N948" s="122"/>
      <c r="O948" s="122"/>
      <c r="P948" s="122"/>
      <c r="Q948" s="122"/>
      <c r="R948" s="122"/>
      <c r="S948" s="122"/>
      <c r="T948" s="122"/>
      <c r="U948" s="122"/>
      <c r="V948" s="122"/>
      <c r="W948" s="122"/>
      <c r="X948" s="122"/>
      <c r="Y948" s="122"/>
    </row>
    <row r="949" spans="1:25" ht="15.75" customHeight="1" x14ac:dyDescent="0.2">
      <c r="A949" s="181"/>
      <c r="B949" s="174"/>
      <c r="C949" s="175"/>
      <c r="D949" s="175"/>
      <c r="E949" s="175"/>
      <c r="F949" s="122"/>
      <c r="G949" s="122"/>
      <c r="H949" s="122"/>
      <c r="I949" s="122"/>
      <c r="J949" s="173"/>
      <c r="K949" s="181"/>
      <c r="L949" s="122"/>
      <c r="M949" s="122"/>
      <c r="N949" s="122"/>
      <c r="O949" s="122"/>
      <c r="P949" s="122"/>
      <c r="Q949" s="122"/>
      <c r="R949" s="122"/>
      <c r="S949" s="122"/>
      <c r="T949" s="122"/>
      <c r="U949" s="122"/>
      <c r="V949" s="122"/>
      <c r="W949" s="122"/>
      <c r="X949" s="122"/>
      <c r="Y949" s="122"/>
    </row>
    <row r="950" spans="1:25" ht="15.75" customHeight="1" x14ac:dyDescent="0.2">
      <c r="A950" s="181"/>
      <c r="B950" s="174"/>
      <c r="C950" s="175"/>
      <c r="D950" s="175"/>
      <c r="E950" s="175"/>
      <c r="F950" s="122"/>
      <c r="G950" s="122"/>
      <c r="H950" s="122"/>
      <c r="I950" s="122"/>
      <c r="J950" s="173"/>
      <c r="K950" s="181"/>
      <c r="L950" s="122"/>
      <c r="M950" s="122"/>
      <c r="N950" s="122"/>
      <c r="O950" s="122"/>
      <c r="P950" s="122"/>
      <c r="Q950" s="122"/>
      <c r="R950" s="122"/>
      <c r="S950" s="122"/>
      <c r="T950" s="122"/>
      <c r="U950" s="122"/>
      <c r="V950" s="122"/>
      <c r="W950" s="122"/>
      <c r="X950" s="122"/>
      <c r="Y950" s="122"/>
    </row>
    <row r="951" spans="1:25" ht="15.75" customHeight="1" x14ac:dyDescent="0.2">
      <c r="A951" s="181"/>
      <c r="B951" s="174"/>
      <c r="C951" s="175"/>
      <c r="D951" s="175"/>
      <c r="E951" s="175"/>
      <c r="F951" s="122"/>
      <c r="G951" s="122"/>
      <c r="H951" s="122"/>
      <c r="I951" s="122"/>
      <c r="J951" s="173"/>
      <c r="K951" s="181"/>
      <c r="L951" s="122"/>
      <c r="M951" s="122"/>
      <c r="N951" s="122"/>
      <c r="O951" s="122"/>
      <c r="P951" s="122"/>
      <c r="Q951" s="122"/>
      <c r="R951" s="122"/>
      <c r="S951" s="122"/>
      <c r="T951" s="122"/>
      <c r="U951" s="122"/>
      <c r="V951" s="122"/>
      <c r="W951" s="122"/>
      <c r="X951" s="122"/>
      <c r="Y951" s="122"/>
    </row>
    <row r="952" spans="1:25" ht="15.75" customHeight="1" x14ac:dyDescent="0.2">
      <c r="A952" s="181"/>
      <c r="B952" s="174"/>
      <c r="C952" s="175"/>
      <c r="D952" s="175"/>
      <c r="E952" s="175"/>
      <c r="F952" s="122"/>
      <c r="G952" s="122"/>
      <c r="H952" s="122"/>
      <c r="I952" s="122"/>
      <c r="J952" s="173"/>
      <c r="K952" s="181"/>
      <c r="L952" s="122"/>
      <c r="M952" s="122"/>
      <c r="N952" s="122"/>
      <c r="O952" s="122"/>
      <c r="P952" s="122"/>
      <c r="Q952" s="122"/>
      <c r="R952" s="122"/>
      <c r="S952" s="122"/>
      <c r="T952" s="122"/>
      <c r="U952" s="122"/>
      <c r="V952" s="122"/>
      <c r="W952" s="122"/>
      <c r="X952" s="122"/>
      <c r="Y952" s="122"/>
    </row>
    <row r="953" spans="1:25" ht="15.75" customHeight="1" x14ac:dyDescent="0.2">
      <c r="A953" s="181"/>
      <c r="B953" s="174"/>
      <c r="C953" s="175"/>
      <c r="D953" s="175"/>
      <c r="E953" s="175"/>
      <c r="F953" s="122"/>
      <c r="G953" s="122"/>
      <c r="H953" s="122"/>
      <c r="I953" s="122"/>
      <c r="J953" s="173"/>
      <c r="K953" s="181"/>
      <c r="L953" s="122"/>
      <c r="M953" s="122"/>
      <c r="N953" s="122"/>
      <c r="O953" s="122"/>
      <c r="P953" s="122"/>
      <c r="Q953" s="122"/>
      <c r="R953" s="122"/>
      <c r="S953" s="122"/>
      <c r="T953" s="122"/>
      <c r="U953" s="122"/>
      <c r="V953" s="122"/>
      <c r="W953" s="122"/>
      <c r="X953" s="122"/>
      <c r="Y953" s="122"/>
    </row>
    <row r="954" spans="1:25" ht="15.75" customHeight="1" x14ac:dyDescent="0.2">
      <c r="A954" s="181"/>
      <c r="B954" s="174"/>
      <c r="C954" s="175"/>
      <c r="D954" s="175"/>
      <c r="E954" s="175"/>
      <c r="F954" s="122"/>
      <c r="G954" s="122"/>
      <c r="H954" s="122"/>
      <c r="I954" s="122"/>
      <c r="J954" s="173"/>
      <c r="K954" s="181"/>
      <c r="L954" s="122"/>
      <c r="M954" s="122"/>
      <c r="N954" s="122"/>
      <c r="O954" s="122"/>
      <c r="P954" s="122"/>
      <c r="Q954" s="122"/>
      <c r="R954" s="122"/>
      <c r="S954" s="122"/>
      <c r="T954" s="122"/>
      <c r="U954" s="122"/>
      <c r="V954" s="122"/>
      <c r="W954" s="122"/>
      <c r="X954" s="122"/>
      <c r="Y954" s="122"/>
    </row>
    <row r="955" spans="1:25" ht="15.75" customHeight="1" x14ac:dyDescent="0.2">
      <c r="A955" s="181"/>
      <c r="B955" s="174"/>
      <c r="C955" s="175"/>
      <c r="D955" s="175"/>
      <c r="E955" s="175"/>
      <c r="F955" s="122"/>
      <c r="G955" s="122"/>
      <c r="H955" s="122"/>
      <c r="I955" s="122"/>
      <c r="J955" s="173"/>
      <c r="K955" s="181"/>
      <c r="L955" s="122"/>
      <c r="M955" s="122"/>
      <c r="N955" s="122"/>
      <c r="O955" s="122"/>
      <c r="P955" s="122"/>
      <c r="Q955" s="122"/>
      <c r="R955" s="122"/>
      <c r="S955" s="122"/>
      <c r="T955" s="122"/>
      <c r="U955" s="122"/>
      <c r="V955" s="122"/>
      <c r="W955" s="122"/>
      <c r="X955" s="122"/>
      <c r="Y955" s="122"/>
    </row>
    <row r="956" spans="1:25" ht="15.75" customHeight="1" x14ac:dyDescent="0.2">
      <c r="A956" s="181"/>
      <c r="B956" s="174"/>
      <c r="C956" s="175"/>
      <c r="D956" s="175"/>
      <c r="E956" s="175"/>
      <c r="F956" s="122"/>
      <c r="G956" s="122"/>
      <c r="H956" s="122"/>
      <c r="I956" s="122"/>
      <c r="J956" s="173"/>
      <c r="K956" s="181"/>
      <c r="L956" s="122"/>
      <c r="M956" s="122"/>
      <c r="N956" s="122"/>
      <c r="O956" s="122"/>
      <c r="P956" s="122"/>
      <c r="Q956" s="122"/>
      <c r="R956" s="122"/>
      <c r="S956" s="122"/>
      <c r="T956" s="122"/>
      <c r="U956" s="122"/>
      <c r="V956" s="122"/>
      <c r="W956" s="122"/>
      <c r="X956" s="122"/>
      <c r="Y956" s="122"/>
    </row>
    <row r="957" spans="1:25" ht="15.75" customHeight="1" x14ac:dyDescent="0.2">
      <c r="A957" s="181"/>
      <c r="B957" s="174"/>
      <c r="C957" s="175"/>
      <c r="D957" s="175"/>
      <c r="E957" s="175"/>
      <c r="F957" s="122"/>
      <c r="G957" s="122"/>
      <c r="H957" s="122"/>
      <c r="I957" s="122"/>
      <c r="J957" s="173"/>
      <c r="K957" s="181"/>
      <c r="L957" s="122"/>
      <c r="M957" s="122"/>
      <c r="N957" s="122"/>
      <c r="O957" s="122"/>
      <c r="P957" s="122"/>
      <c r="Q957" s="122"/>
      <c r="R957" s="122"/>
      <c r="S957" s="122"/>
      <c r="T957" s="122"/>
      <c r="U957" s="122"/>
      <c r="V957" s="122"/>
      <c r="W957" s="122"/>
      <c r="X957" s="122"/>
      <c r="Y957" s="122"/>
    </row>
    <row r="958" spans="1:25" ht="15.75" customHeight="1" x14ac:dyDescent="0.2">
      <c r="A958" s="181"/>
      <c r="B958" s="174"/>
      <c r="C958" s="175"/>
      <c r="D958" s="175"/>
      <c r="E958" s="175"/>
      <c r="F958" s="122"/>
      <c r="G958" s="122"/>
      <c r="H958" s="122"/>
      <c r="I958" s="122"/>
      <c r="J958" s="173"/>
      <c r="K958" s="181"/>
      <c r="L958" s="122"/>
      <c r="M958" s="122"/>
      <c r="N958" s="122"/>
      <c r="O958" s="122"/>
      <c r="P958" s="122"/>
      <c r="Q958" s="122"/>
      <c r="R958" s="122"/>
      <c r="S958" s="122"/>
      <c r="T958" s="122"/>
      <c r="U958" s="122"/>
      <c r="V958" s="122"/>
      <c r="W958" s="122"/>
      <c r="X958" s="122"/>
      <c r="Y958" s="122"/>
    </row>
    <row r="959" spans="1:25" ht="15.75" customHeight="1" x14ac:dyDescent="0.2">
      <c r="A959" s="181"/>
      <c r="B959" s="174"/>
      <c r="C959" s="175"/>
      <c r="D959" s="175"/>
      <c r="E959" s="175"/>
      <c r="F959" s="122"/>
      <c r="G959" s="122"/>
      <c r="H959" s="122"/>
      <c r="I959" s="122"/>
      <c r="J959" s="173"/>
      <c r="K959" s="181"/>
      <c r="L959" s="122"/>
      <c r="M959" s="122"/>
      <c r="N959" s="122"/>
      <c r="O959" s="122"/>
      <c r="P959" s="122"/>
      <c r="Q959" s="122"/>
      <c r="R959" s="122"/>
      <c r="S959" s="122"/>
      <c r="T959" s="122"/>
      <c r="U959" s="122"/>
      <c r="V959" s="122"/>
      <c r="W959" s="122"/>
      <c r="X959" s="122"/>
      <c r="Y959" s="122"/>
    </row>
    <row r="960" spans="1:25" ht="15.75" customHeight="1" x14ac:dyDescent="0.2">
      <c r="A960" s="181"/>
      <c r="B960" s="174"/>
      <c r="C960" s="175"/>
      <c r="D960" s="175"/>
      <c r="E960" s="175"/>
      <c r="F960" s="122"/>
      <c r="G960" s="122"/>
      <c r="H960" s="122"/>
      <c r="I960" s="122"/>
      <c r="J960" s="173"/>
      <c r="K960" s="181"/>
      <c r="L960" s="122"/>
      <c r="M960" s="122"/>
      <c r="N960" s="122"/>
      <c r="O960" s="122"/>
      <c r="P960" s="122"/>
      <c r="Q960" s="122"/>
      <c r="R960" s="122"/>
      <c r="S960" s="122"/>
      <c r="T960" s="122"/>
      <c r="U960" s="122"/>
      <c r="V960" s="122"/>
      <c r="W960" s="122"/>
      <c r="X960" s="122"/>
      <c r="Y960" s="122"/>
    </row>
    <row r="961" spans="1:25" ht="15.75" customHeight="1" x14ac:dyDescent="0.2">
      <c r="A961" s="181"/>
      <c r="B961" s="174"/>
      <c r="C961" s="175"/>
      <c r="D961" s="175"/>
      <c r="E961" s="175"/>
      <c r="F961" s="122"/>
      <c r="G961" s="122"/>
      <c r="H961" s="122"/>
      <c r="I961" s="122"/>
      <c r="J961" s="173"/>
      <c r="K961" s="181"/>
      <c r="L961" s="122"/>
      <c r="M961" s="122"/>
      <c r="N961" s="122"/>
      <c r="O961" s="122"/>
      <c r="P961" s="122"/>
      <c r="Q961" s="122"/>
      <c r="R961" s="122"/>
      <c r="S961" s="122"/>
      <c r="T961" s="122"/>
      <c r="U961" s="122"/>
      <c r="V961" s="122"/>
      <c r="W961" s="122"/>
      <c r="X961" s="122"/>
      <c r="Y961" s="122"/>
    </row>
    <row r="962" spans="1:25" ht="15.75" customHeight="1" x14ac:dyDescent="0.2">
      <c r="A962" s="181"/>
      <c r="B962" s="174"/>
      <c r="C962" s="175"/>
      <c r="D962" s="175"/>
      <c r="E962" s="175"/>
      <c r="F962" s="122"/>
      <c r="G962" s="122"/>
      <c r="H962" s="122"/>
      <c r="I962" s="122"/>
      <c r="J962" s="173"/>
      <c r="K962" s="181"/>
      <c r="L962" s="122"/>
      <c r="M962" s="122"/>
      <c r="N962" s="122"/>
      <c r="O962" s="122"/>
      <c r="P962" s="122"/>
      <c r="Q962" s="122"/>
      <c r="R962" s="122"/>
      <c r="S962" s="122"/>
      <c r="T962" s="122"/>
      <c r="U962" s="122"/>
      <c r="V962" s="122"/>
      <c r="W962" s="122"/>
      <c r="X962" s="122"/>
      <c r="Y962" s="122"/>
    </row>
    <row r="963" spans="1:25" ht="15.75" customHeight="1" x14ac:dyDescent="0.2">
      <c r="A963" s="181"/>
      <c r="B963" s="174"/>
      <c r="C963" s="175"/>
      <c r="D963" s="175"/>
      <c r="E963" s="175"/>
      <c r="F963" s="122"/>
      <c r="G963" s="122"/>
      <c r="H963" s="122"/>
      <c r="I963" s="122"/>
      <c r="J963" s="173"/>
      <c r="K963" s="181"/>
      <c r="L963" s="122"/>
      <c r="M963" s="122"/>
      <c r="N963" s="122"/>
      <c r="O963" s="122"/>
      <c r="P963" s="122"/>
      <c r="Q963" s="122"/>
      <c r="R963" s="122"/>
      <c r="S963" s="122"/>
      <c r="T963" s="122"/>
      <c r="U963" s="122"/>
      <c r="V963" s="122"/>
      <c r="W963" s="122"/>
      <c r="X963" s="122"/>
      <c r="Y963" s="122"/>
    </row>
    <row r="964" spans="1:25" ht="15.75" customHeight="1" x14ac:dyDescent="0.2">
      <c r="A964" s="181"/>
      <c r="B964" s="174"/>
      <c r="C964" s="175"/>
      <c r="D964" s="175"/>
      <c r="E964" s="175"/>
      <c r="F964" s="122"/>
      <c r="G964" s="122"/>
      <c r="H964" s="122"/>
      <c r="I964" s="122"/>
      <c r="J964" s="173"/>
      <c r="K964" s="181"/>
      <c r="L964" s="122"/>
      <c r="M964" s="122"/>
      <c r="N964" s="122"/>
      <c r="O964" s="122"/>
      <c r="P964" s="122"/>
      <c r="Q964" s="122"/>
      <c r="R964" s="122"/>
      <c r="S964" s="122"/>
      <c r="T964" s="122"/>
      <c r="U964" s="122"/>
      <c r="V964" s="122"/>
      <c r="W964" s="122"/>
      <c r="X964" s="122"/>
      <c r="Y964" s="122"/>
    </row>
    <row r="965" spans="1:25" ht="15.75" customHeight="1" x14ac:dyDescent="0.2">
      <c r="A965" s="181"/>
      <c r="B965" s="174"/>
      <c r="C965" s="175"/>
      <c r="D965" s="175"/>
      <c r="E965" s="175"/>
      <c r="F965" s="122"/>
      <c r="G965" s="122"/>
      <c r="H965" s="122"/>
      <c r="I965" s="122"/>
      <c r="J965" s="173"/>
      <c r="K965" s="181"/>
      <c r="L965" s="122"/>
      <c r="M965" s="122"/>
      <c r="N965" s="122"/>
      <c r="O965" s="122"/>
      <c r="P965" s="122"/>
      <c r="Q965" s="122"/>
      <c r="R965" s="122"/>
      <c r="S965" s="122"/>
      <c r="T965" s="122"/>
      <c r="U965" s="122"/>
      <c r="V965" s="122"/>
      <c r="W965" s="122"/>
      <c r="X965" s="122"/>
      <c r="Y965" s="122"/>
    </row>
    <row r="966" spans="1:25" ht="15.75" customHeight="1" x14ac:dyDescent="0.2">
      <c r="A966" s="181"/>
      <c r="B966" s="174"/>
      <c r="C966" s="175"/>
      <c r="D966" s="175"/>
      <c r="E966" s="175"/>
      <c r="F966" s="122"/>
      <c r="G966" s="122"/>
      <c r="H966" s="122"/>
      <c r="I966" s="122"/>
      <c r="J966" s="173"/>
      <c r="K966" s="181"/>
      <c r="L966" s="122"/>
      <c r="M966" s="122"/>
      <c r="N966" s="122"/>
      <c r="O966" s="122"/>
      <c r="P966" s="122"/>
      <c r="Q966" s="122"/>
      <c r="R966" s="122"/>
      <c r="S966" s="122"/>
      <c r="T966" s="122"/>
      <c r="U966" s="122"/>
      <c r="V966" s="122"/>
      <c r="W966" s="122"/>
      <c r="X966" s="122"/>
      <c r="Y966" s="122"/>
    </row>
    <row r="967" spans="1:25" ht="15.75" customHeight="1" x14ac:dyDescent="0.2">
      <c r="A967" s="181"/>
      <c r="B967" s="174"/>
      <c r="C967" s="175"/>
      <c r="D967" s="175"/>
      <c r="E967" s="175"/>
      <c r="F967" s="122"/>
      <c r="G967" s="122"/>
      <c r="H967" s="122"/>
      <c r="I967" s="122"/>
      <c r="J967" s="173"/>
      <c r="K967" s="181"/>
      <c r="L967" s="122"/>
      <c r="M967" s="122"/>
      <c r="N967" s="122"/>
      <c r="O967" s="122"/>
      <c r="P967" s="122"/>
      <c r="Q967" s="122"/>
      <c r="R967" s="122"/>
      <c r="S967" s="122"/>
      <c r="T967" s="122"/>
      <c r="U967" s="122"/>
      <c r="V967" s="122"/>
      <c r="W967" s="122"/>
      <c r="X967" s="122"/>
      <c r="Y967" s="122"/>
    </row>
    <row r="968" spans="1:25" ht="15.75" customHeight="1" x14ac:dyDescent="0.2">
      <c r="A968" s="181"/>
      <c r="B968" s="174"/>
      <c r="C968" s="175"/>
      <c r="D968" s="175"/>
      <c r="E968" s="175"/>
      <c r="F968" s="122"/>
      <c r="G968" s="122"/>
      <c r="H968" s="122"/>
      <c r="I968" s="122"/>
      <c r="J968" s="173"/>
      <c r="K968" s="181"/>
      <c r="L968" s="122"/>
      <c r="M968" s="122"/>
      <c r="N968" s="122"/>
      <c r="O968" s="122"/>
      <c r="P968" s="122"/>
      <c r="Q968" s="122"/>
      <c r="R968" s="122"/>
      <c r="S968" s="122"/>
      <c r="T968" s="122"/>
      <c r="U968" s="122"/>
      <c r="V968" s="122"/>
      <c r="W968" s="122"/>
      <c r="X968" s="122"/>
      <c r="Y968" s="122"/>
    </row>
    <row r="969" spans="1:25" ht="15.75" customHeight="1" x14ac:dyDescent="0.2">
      <c r="A969" s="181"/>
      <c r="B969" s="174"/>
      <c r="C969" s="175"/>
      <c r="D969" s="175"/>
      <c r="E969" s="175"/>
      <c r="F969" s="122"/>
      <c r="G969" s="122"/>
      <c r="H969" s="122"/>
      <c r="I969" s="122"/>
      <c r="J969" s="173"/>
      <c r="K969" s="181"/>
      <c r="L969" s="122"/>
      <c r="M969" s="122"/>
      <c r="N969" s="122"/>
      <c r="O969" s="122"/>
      <c r="P969" s="122"/>
      <c r="Q969" s="122"/>
      <c r="R969" s="122"/>
      <c r="S969" s="122"/>
      <c r="T969" s="122"/>
      <c r="U969" s="122"/>
      <c r="V969" s="122"/>
      <c r="W969" s="122"/>
      <c r="X969" s="122"/>
      <c r="Y969" s="122"/>
    </row>
    <row r="970" spans="1:25" ht="15.75" customHeight="1" x14ac:dyDescent="0.2">
      <c r="A970" s="181"/>
      <c r="B970" s="174"/>
      <c r="C970" s="175"/>
      <c r="D970" s="175"/>
      <c r="E970" s="175"/>
      <c r="F970" s="122"/>
      <c r="G970" s="122"/>
      <c r="H970" s="122"/>
      <c r="I970" s="122"/>
      <c r="J970" s="173"/>
      <c r="K970" s="181"/>
      <c r="L970" s="122"/>
      <c r="M970" s="122"/>
      <c r="N970" s="122"/>
      <c r="O970" s="122"/>
      <c r="P970" s="122"/>
      <c r="Q970" s="122"/>
      <c r="R970" s="122"/>
      <c r="S970" s="122"/>
      <c r="T970" s="122"/>
      <c r="U970" s="122"/>
      <c r="V970" s="122"/>
      <c r="W970" s="122"/>
      <c r="X970" s="122"/>
      <c r="Y970" s="122"/>
    </row>
    <row r="971" spans="1:25" ht="15.75" customHeight="1" x14ac:dyDescent="0.2">
      <c r="A971" s="181"/>
      <c r="B971" s="174"/>
      <c r="C971" s="175"/>
      <c r="D971" s="175"/>
      <c r="E971" s="175"/>
      <c r="F971" s="122"/>
      <c r="G971" s="122"/>
      <c r="H971" s="122"/>
      <c r="I971" s="122"/>
      <c r="J971" s="173"/>
      <c r="K971" s="181"/>
      <c r="L971" s="122"/>
      <c r="M971" s="122"/>
      <c r="N971" s="122"/>
      <c r="O971" s="122"/>
      <c r="P971" s="122"/>
      <c r="Q971" s="122"/>
      <c r="R971" s="122"/>
      <c r="S971" s="122"/>
      <c r="T971" s="122"/>
      <c r="U971" s="122"/>
      <c r="V971" s="122"/>
      <c r="W971" s="122"/>
      <c r="X971" s="122"/>
      <c r="Y971" s="122"/>
    </row>
    <row r="972" spans="1:25" ht="15.75" customHeight="1" x14ac:dyDescent="0.2">
      <c r="A972" s="181"/>
      <c r="B972" s="174"/>
      <c r="C972" s="175"/>
      <c r="D972" s="175"/>
      <c r="E972" s="175"/>
      <c r="F972" s="122"/>
      <c r="G972" s="122"/>
      <c r="H972" s="122"/>
      <c r="I972" s="122"/>
      <c r="J972" s="173"/>
      <c r="K972" s="181"/>
      <c r="L972" s="122"/>
      <c r="M972" s="122"/>
      <c r="N972" s="122"/>
      <c r="O972" s="122"/>
      <c r="P972" s="122"/>
      <c r="Q972" s="122"/>
      <c r="R972" s="122"/>
      <c r="S972" s="122"/>
      <c r="T972" s="122"/>
      <c r="U972" s="122"/>
      <c r="V972" s="122"/>
      <c r="W972" s="122"/>
      <c r="X972" s="122"/>
      <c r="Y972" s="122"/>
    </row>
    <row r="973" spans="1:25" ht="15.75" customHeight="1" x14ac:dyDescent="0.2">
      <c r="A973" s="181"/>
      <c r="B973" s="174"/>
      <c r="C973" s="175"/>
      <c r="D973" s="175"/>
      <c r="E973" s="175"/>
      <c r="F973" s="122"/>
      <c r="G973" s="122"/>
      <c r="H973" s="122"/>
      <c r="I973" s="122"/>
      <c r="J973" s="173"/>
      <c r="K973" s="181"/>
      <c r="L973" s="122"/>
      <c r="M973" s="122"/>
      <c r="N973" s="122"/>
      <c r="O973" s="122"/>
      <c r="P973" s="122"/>
      <c r="Q973" s="122"/>
      <c r="R973" s="122"/>
      <c r="S973" s="122"/>
      <c r="T973" s="122"/>
      <c r="U973" s="122"/>
      <c r="V973" s="122"/>
      <c r="W973" s="122"/>
      <c r="X973" s="122"/>
      <c r="Y973" s="122"/>
    </row>
    <row r="974" spans="1:25" ht="15.75" customHeight="1" x14ac:dyDescent="0.2">
      <c r="A974" s="181"/>
      <c r="B974" s="174"/>
      <c r="C974" s="175"/>
      <c r="D974" s="175"/>
      <c r="E974" s="175"/>
      <c r="F974" s="122"/>
      <c r="G974" s="122"/>
      <c r="H974" s="122"/>
      <c r="I974" s="122"/>
      <c r="J974" s="173"/>
      <c r="K974" s="181"/>
      <c r="L974" s="122"/>
      <c r="M974" s="122"/>
      <c r="N974" s="122"/>
      <c r="O974" s="122"/>
      <c r="P974" s="122"/>
      <c r="Q974" s="122"/>
      <c r="R974" s="122"/>
      <c r="S974" s="122"/>
      <c r="T974" s="122"/>
      <c r="U974" s="122"/>
      <c r="V974" s="122"/>
      <c r="W974" s="122"/>
      <c r="X974" s="122"/>
      <c r="Y974" s="122"/>
    </row>
    <row r="975" spans="1:25" ht="15.75" customHeight="1" x14ac:dyDescent="0.2">
      <c r="A975" s="181"/>
      <c r="B975" s="174"/>
      <c r="C975" s="175"/>
      <c r="D975" s="175"/>
      <c r="E975" s="175"/>
      <c r="F975" s="122"/>
      <c r="G975" s="122"/>
      <c r="H975" s="122"/>
      <c r="I975" s="122"/>
      <c r="J975" s="173"/>
      <c r="K975" s="181"/>
      <c r="L975" s="122"/>
      <c r="M975" s="122"/>
      <c r="N975" s="122"/>
      <c r="O975" s="122"/>
      <c r="P975" s="122"/>
      <c r="Q975" s="122"/>
      <c r="R975" s="122"/>
      <c r="S975" s="122"/>
      <c r="T975" s="122"/>
      <c r="U975" s="122"/>
      <c r="V975" s="122"/>
      <c r="W975" s="122"/>
      <c r="X975" s="122"/>
      <c r="Y975" s="122"/>
    </row>
    <row r="976" spans="1:25" ht="15.75" customHeight="1" x14ac:dyDescent="0.2">
      <c r="A976" s="181"/>
      <c r="B976" s="174"/>
      <c r="C976" s="175"/>
      <c r="D976" s="175"/>
      <c r="E976" s="175"/>
      <c r="F976" s="122"/>
      <c r="G976" s="122"/>
      <c r="H976" s="122"/>
      <c r="I976" s="122"/>
      <c r="J976" s="173"/>
      <c r="K976" s="181"/>
      <c r="L976" s="122"/>
      <c r="M976" s="122"/>
      <c r="N976" s="122"/>
      <c r="O976" s="122"/>
      <c r="P976" s="122"/>
      <c r="Q976" s="122"/>
      <c r="R976" s="122"/>
      <c r="S976" s="122"/>
      <c r="T976" s="122"/>
      <c r="U976" s="122"/>
      <c r="V976" s="122"/>
      <c r="W976" s="122"/>
      <c r="X976" s="122"/>
      <c r="Y976" s="122"/>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7"/>
  <sheetViews>
    <sheetView zoomScale="80" zoomScaleNormal="80" workbookViewId="0">
      <selection activeCell="C6" sqref="C6:H6"/>
    </sheetView>
  </sheetViews>
  <sheetFormatPr baseColWidth="10" defaultColWidth="11.42578125" defaultRowHeight="0" customHeight="1" zeroHeight="1" x14ac:dyDescent="0.25"/>
  <cols>
    <col min="1" max="1" width="2.42578125" style="118" customWidth="1"/>
    <col min="2" max="2" width="4.42578125" style="174" customWidth="1"/>
    <col min="3" max="3" width="32.28515625" style="175" customWidth="1"/>
    <col min="4" max="4" width="21.85546875" style="175" customWidth="1"/>
    <col min="5" max="5" width="30" style="175" customWidth="1"/>
    <col min="6" max="6" width="23.42578125" style="122" customWidth="1"/>
    <col min="7" max="8" width="13.42578125" style="122" customWidth="1"/>
    <col min="9" max="9" width="13.5703125" style="122" customWidth="1"/>
    <col min="10" max="10" width="57.140625" style="173" customWidth="1"/>
    <col min="11" max="11" width="4.28515625" style="118" customWidth="1"/>
    <col min="12" max="16384" width="11.42578125" style="122"/>
  </cols>
  <sheetData>
    <row r="1" spans="1:11" ht="18.75" customHeight="1" x14ac:dyDescent="0.25">
      <c r="B1" s="119"/>
      <c r="C1" s="119"/>
      <c r="D1" s="120"/>
      <c r="E1" s="120"/>
      <c r="F1" s="120"/>
      <c r="G1" s="120"/>
      <c r="H1" s="120"/>
      <c r="I1" s="120"/>
      <c r="J1" s="121"/>
    </row>
    <row r="2" spans="1:11" ht="18.75" customHeight="1" x14ac:dyDescent="0.25">
      <c r="B2" s="123"/>
      <c r="C2" s="811" t="s">
        <v>760</v>
      </c>
      <c r="D2" s="811"/>
      <c r="E2" s="811"/>
      <c r="F2" s="811"/>
      <c r="G2" s="811"/>
      <c r="H2" s="811"/>
      <c r="I2" s="811"/>
      <c r="J2" s="811"/>
    </row>
    <row r="3" spans="1:11" ht="18.75" customHeight="1" x14ac:dyDescent="0.25">
      <c r="B3" s="123"/>
      <c r="C3" s="124"/>
      <c r="D3" s="125"/>
      <c r="E3" s="124"/>
      <c r="F3" s="126"/>
      <c r="G3" s="127"/>
      <c r="H3" s="128"/>
      <c r="I3" s="128"/>
      <c r="J3" s="129"/>
    </row>
    <row r="4" spans="1:11" ht="75.75" customHeight="1" x14ac:dyDescent="0.25">
      <c r="B4" s="123"/>
      <c r="C4" s="130" t="s">
        <v>478</v>
      </c>
      <c r="D4" s="863" t="s">
        <v>761</v>
      </c>
      <c r="E4" s="863"/>
      <c r="F4" s="863"/>
      <c r="G4" s="863"/>
      <c r="H4" s="863"/>
      <c r="I4" s="863"/>
      <c r="J4" s="863"/>
    </row>
    <row r="5" spans="1:11" ht="8.25" customHeight="1" x14ac:dyDescent="0.25">
      <c r="B5" s="123"/>
      <c r="C5" s="131"/>
      <c r="D5" s="132"/>
      <c r="E5" s="124"/>
      <c r="F5" s="133"/>
      <c r="G5" s="133"/>
      <c r="H5" s="133"/>
      <c r="I5" s="133"/>
      <c r="J5" s="129"/>
    </row>
    <row r="6" spans="1:11" ht="18" customHeight="1" x14ac:dyDescent="0.25">
      <c r="B6" s="123"/>
      <c r="C6" s="130" t="s">
        <v>480</v>
      </c>
      <c r="D6" s="812">
        <v>1</v>
      </c>
      <c r="E6" s="812"/>
      <c r="F6" s="812"/>
      <c r="G6" s="812"/>
      <c r="H6" s="812"/>
      <c r="I6" s="305"/>
      <c r="J6" s="305"/>
    </row>
    <row r="7" spans="1:11" ht="8.25" customHeight="1" x14ac:dyDescent="0.25">
      <c r="B7" s="123"/>
      <c r="C7" s="135"/>
      <c r="D7" s="135"/>
      <c r="E7" s="135"/>
      <c r="F7" s="136"/>
      <c r="G7" s="136"/>
      <c r="H7" s="136"/>
      <c r="I7" s="136"/>
      <c r="J7" s="129"/>
    </row>
    <row r="8" spans="1:11" ht="18" customHeight="1" x14ac:dyDescent="0.25">
      <c r="B8" s="123"/>
      <c r="C8" s="130" t="s">
        <v>520</v>
      </c>
      <c r="D8" s="813">
        <v>44225</v>
      </c>
      <c r="E8" s="812"/>
      <c r="F8" s="812"/>
      <c r="G8" s="812"/>
      <c r="H8" s="812"/>
      <c r="I8" s="305"/>
      <c r="J8" s="305"/>
    </row>
    <row r="9" spans="1:11" ht="8.25" customHeight="1" thickBot="1" x14ac:dyDescent="0.3">
      <c r="B9" s="123"/>
      <c r="C9" s="137"/>
      <c r="D9" s="137"/>
      <c r="E9" s="137"/>
      <c r="F9" s="138"/>
      <c r="G9" s="138"/>
      <c r="H9" s="138"/>
      <c r="I9" s="138"/>
      <c r="J9" s="139"/>
    </row>
    <row r="10" spans="1:11" ht="18" customHeight="1" x14ac:dyDescent="0.25">
      <c r="B10" s="808" t="s">
        <v>357</v>
      </c>
      <c r="C10" s="831"/>
      <c r="D10" s="831"/>
      <c r="E10" s="831"/>
      <c r="F10" s="831"/>
      <c r="G10" s="831"/>
      <c r="H10" s="831"/>
      <c r="I10" s="831"/>
      <c r="J10" s="809"/>
    </row>
    <row r="11" spans="1:11" ht="18" customHeight="1" x14ac:dyDescent="0.25">
      <c r="B11" s="828" t="s">
        <v>358</v>
      </c>
      <c r="C11" s="818" t="s">
        <v>360</v>
      </c>
      <c r="D11" s="818" t="s">
        <v>361</v>
      </c>
      <c r="E11" s="818" t="s">
        <v>362</v>
      </c>
      <c r="F11" s="818" t="s">
        <v>363</v>
      </c>
      <c r="G11" s="818" t="s">
        <v>364</v>
      </c>
      <c r="H11" s="818"/>
      <c r="I11" s="303" t="s">
        <v>365</v>
      </c>
      <c r="J11" s="819" t="s">
        <v>29</v>
      </c>
    </row>
    <row r="12" spans="1:11" s="141" customFormat="1" ht="18" customHeight="1" thickBot="1" x14ac:dyDescent="0.3">
      <c r="A12" s="140"/>
      <c r="B12" s="829"/>
      <c r="C12" s="830"/>
      <c r="D12" s="830"/>
      <c r="E12" s="830"/>
      <c r="F12" s="830"/>
      <c r="G12" s="304" t="s">
        <v>366</v>
      </c>
      <c r="H12" s="304" t="s">
        <v>367</v>
      </c>
      <c r="I12" s="354">
        <f>SUM(I13:I19)</f>
        <v>1</v>
      </c>
      <c r="J12" s="820"/>
      <c r="K12" s="140"/>
    </row>
    <row r="13" spans="1:11" s="141" customFormat="1" ht="45" customHeight="1" x14ac:dyDescent="0.25">
      <c r="A13" s="140"/>
      <c r="B13" s="142">
        <v>1</v>
      </c>
      <c r="C13" s="355" t="s">
        <v>522</v>
      </c>
      <c r="D13" s="176" t="s">
        <v>521</v>
      </c>
      <c r="E13" s="143" t="s">
        <v>523</v>
      </c>
      <c r="F13" s="144">
        <v>1</v>
      </c>
      <c r="G13" s="145">
        <v>44228</v>
      </c>
      <c r="H13" s="145">
        <v>44560</v>
      </c>
      <c r="I13" s="226">
        <v>0.2</v>
      </c>
      <c r="J13" s="177"/>
      <c r="K13" s="140"/>
    </row>
    <row r="14" spans="1:11" s="141" customFormat="1" ht="45" customHeight="1" x14ac:dyDescent="0.25">
      <c r="A14" s="140"/>
      <c r="B14" s="147">
        <v>2</v>
      </c>
      <c r="C14" s="178" t="s">
        <v>524</v>
      </c>
      <c r="D14" s="179" t="s">
        <v>521</v>
      </c>
      <c r="E14" s="149" t="s">
        <v>762</v>
      </c>
      <c r="F14" s="150">
        <v>1</v>
      </c>
      <c r="G14" s="151">
        <v>44228</v>
      </c>
      <c r="H14" s="151">
        <v>44560</v>
      </c>
      <c r="I14" s="227">
        <v>0.1</v>
      </c>
      <c r="J14" s="180"/>
      <c r="K14" s="140"/>
    </row>
    <row r="15" spans="1:11" s="141" customFormat="1" ht="45" customHeight="1" x14ac:dyDescent="0.25">
      <c r="A15" s="140"/>
      <c r="B15" s="147">
        <v>3</v>
      </c>
      <c r="C15" s="178" t="s">
        <v>763</v>
      </c>
      <c r="D15" s="179" t="s">
        <v>521</v>
      </c>
      <c r="E15" s="149" t="s">
        <v>525</v>
      </c>
      <c r="F15" s="150">
        <v>0.8</v>
      </c>
      <c r="G15" s="151">
        <v>44287</v>
      </c>
      <c r="H15" s="151">
        <v>44560</v>
      </c>
      <c r="I15" s="227">
        <v>0.1</v>
      </c>
      <c r="J15" s="180"/>
      <c r="K15" s="140"/>
    </row>
    <row r="16" spans="1:11" s="141" customFormat="1" ht="45" customHeight="1" x14ac:dyDescent="0.25">
      <c r="A16" s="140"/>
      <c r="B16" s="147">
        <v>4</v>
      </c>
      <c r="C16" s="178" t="s">
        <v>526</v>
      </c>
      <c r="D16" s="179" t="s">
        <v>521</v>
      </c>
      <c r="E16" s="149" t="s">
        <v>527</v>
      </c>
      <c r="F16" s="150">
        <v>0.8</v>
      </c>
      <c r="G16" s="151">
        <v>44228</v>
      </c>
      <c r="H16" s="151">
        <v>44377</v>
      </c>
      <c r="I16" s="227">
        <v>0.1</v>
      </c>
      <c r="J16" s="180"/>
      <c r="K16" s="140"/>
    </row>
    <row r="17" spans="1:11" s="141" customFormat="1" ht="45" customHeight="1" x14ac:dyDescent="0.25">
      <c r="A17" s="140"/>
      <c r="B17" s="147">
        <v>5</v>
      </c>
      <c r="C17" s="178" t="s">
        <v>764</v>
      </c>
      <c r="D17" s="179" t="s">
        <v>521</v>
      </c>
      <c r="E17" s="149" t="s">
        <v>765</v>
      </c>
      <c r="F17" s="150">
        <v>1</v>
      </c>
      <c r="G17" s="151">
        <v>44256</v>
      </c>
      <c r="H17" s="151">
        <v>44560</v>
      </c>
      <c r="I17" s="227">
        <v>0.15</v>
      </c>
      <c r="J17" s="180"/>
      <c r="K17" s="140"/>
    </row>
    <row r="18" spans="1:11" s="141" customFormat="1" ht="45" customHeight="1" x14ac:dyDescent="0.25">
      <c r="A18" s="140"/>
      <c r="B18" s="147">
        <v>6</v>
      </c>
      <c r="C18" s="178" t="s">
        <v>528</v>
      </c>
      <c r="D18" s="179" t="s">
        <v>521</v>
      </c>
      <c r="E18" s="149" t="s">
        <v>529</v>
      </c>
      <c r="F18" s="150">
        <v>0.8</v>
      </c>
      <c r="G18" s="151">
        <v>44287</v>
      </c>
      <c r="H18" s="151">
        <v>44560</v>
      </c>
      <c r="I18" s="227">
        <v>0.15</v>
      </c>
      <c r="J18" s="180"/>
      <c r="K18" s="140"/>
    </row>
    <row r="19" spans="1:11" s="141" customFormat="1" ht="59.25" customHeight="1" thickBot="1" x14ac:dyDescent="0.3">
      <c r="A19" s="140"/>
      <c r="B19" s="153">
        <v>7</v>
      </c>
      <c r="C19" s="154" t="s">
        <v>530</v>
      </c>
      <c r="D19" s="155" t="s">
        <v>521</v>
      </c>
      <c r="E19" s="156" t="s">
        <v>766</v>
      </c>
      <c r="F19" s="158">
        <v>1</v>
      </c>
      <c r="G19" s="157" t="s">
        <v>531</v>
      </c>
      <c r="H19" s="157">
        <v>44560</v>
      </c>
      <c r="I19" s="356">
        <v>0.2</v>
      </c>
      <c r="J19" s="159"/>
      <c r="K19" s="140"/>
    </row>
    <row r="20" spans="1:11" s="141" customFormat="1" ht="33" customHeight="1" thickBot="1" x14ac:dyDescent="0.3">
      <c r="A20" s="140"/>
      <c r="B20" s="821" t="s">
        <v>487</v>
      </c>
      <c r="C20" s="821"/>
      <c r="D20" s="821"/>
      <c r="E20" s="821"/>
      <c r="F20" s="821"/>
      <c r="G20" s="821"/>
      <c r="H20" s="821"/>
      <c r="I20" s="821"/>
      <c r="J20" s="821"/>
      <c r="K20" s="140"/>
    </row>
    <row r="21" spans="1:11" s="141" customFormat="1" ht="21.75" customHeight="1" x14ac:dyDescent="0.25">
      <c r="A21" s="140"/>
      <c r="B21" s="160"/>
      <c r="C21" s="822" t="s">
        <v>488</v>
      </c>
      <c r="D21" s="823"/>
      <c r="E21" s="823"/>
      <c r="F21" s="824"/>
      <c r="G21" s="161"/>
      <c r="H21" s="161"/>
      <c r="I21" s="161"/>
      <c r="J21" s="162"/>
      <c r="K21" s="140"/>
    </row>
    <row r="22" spans="1:11" s="141" customFormat="1" ht="21.75" customHeight="1" thickBot="1" x14ac:dyDescent="0.3">
      <c r="A22" s="140"/>
      <c r="B22" s="160"/>
      <c r="C22" s="357" t="s">
        <v>355</v>
      </c>
      <c r="D22" s="864" t="s">
        <v>489</v>
      </c>
      <c r="E22" s="864"/>
      <c r="F22" s="358" t="s">
        <v>490</v>
      </c>
      <c r="G22" s="161"/>
      <c r="H22" s="161"/>
      <c r="I22" s="161"/>
      <c r="J22" s="162"/>
      <c r="K22" s="140"/>
    </row>
    <row r="23" spans="1:11" s="141" customFormat="1" ht="28.5" customHeight="1" x14ac:dyDescent="0.2">
      <c r="A23" s="140"/>
      <c r="B23" s="160"/>
      <c r="C23" s="359">
        <v>1</v>
      </c>
      <c r="D23" s="865" t="s">
        <v>491</v>
      </c>
      <c r="E23" s="866"/>
      <c r="F23" s="360">
        <v>44225</v>
      </c>
      <c r="G23" s="161"/>
      <c r="H23" s="161"/>
      <c r="I23" s="161"/>
      <c r="J23" s="162"/>
      <c r="K23" s="140"/>
    </row>
    <row r="24" spans="1:11" s="141" customFormat="1" ht="28.5" customHeight="1" thickBot="1" x14ac:dyDescent="0.3">
      <c r="A24" s="140"/>
      <c r="B24" s="160"/>
      <c r="C24" s="165"/>
      <c r="D24" s="817"/>
      <c r="E24" s="817"/>
      <c r="F24" s="166"/>
      <c r="G24" s="161"/>
      <c r="H24" s="161"/>
      <c r="I24" s="161"/>
      <c r="J24" s="162"/>
      <c r="K24" s="140"/>
    </row>
    <row r="25" spans="1:11" s="141" customFormat="1" ht="33" customHeight="1" x14ac:dyDescent="0.25">
      <c r="A25" s="140"/>
      <c r="B25" s="160"/>
      <c r="C25" s="167"/>
      <c r="D25" s="167"/>
      <c r="E25" s="160"/>
      <c r="F25" s="160"/>
      <c r="G25" s="161"/>
      <c r="H25" s="161"/>
      <c r="I25" s="161"/>
      <c r="J25" s="162"/>
      <c r="K25" s="140"/>
    </row>
    <row r="26" spans="1:11" s="141" customFormat="1" ht="33" customHeight="1" x14ac:dyDescent="0.25">
      <c r="A26" s="140"/>
      <c r="B26" s="160"/>
      <c r="C26" s="167"/>
      <c r="D26" s="167"/>
      <c r="E26" s="160"/>
      <c r="F26" s="160"/>
      <c r="G26" s="161"/>
      <c r="H26" s="161"/>
      <c r="I26" s="161"/>
      <c r="J26" s="162"/>
      <c r="K26" s="140"/>
    </row>
    <row r="27" spans="1:11" s="141" customFormat="1" ht="33" customHeight="1" x14ac:dyDescent="0.25">
      <c r="A27" s="140"/>
      <c r="B27" s="160"/>
      <c r="C27" s="167"/>
      <c r="D27" s="167"/>
      <c r="E27" s="160"/>
      <c r="F27" s="160"/>
      <c r="G27" s="161"/>
      <c r="H27" s="161"/>
      <c r="I27" s="161"/>
      <c r="J27" s="162"/>
      <c r="K27" s="140"/>
    </row>
    <row r="28" spans="1:11" s="141" customFormat="1" ht="33" customHeight="1" x14ac:dyDescent="0.25">
      <c r="A28" s="140"/>
      <c r="B28" s="160"/>
      <c r="C28" s="167"/>
      <c r="D28" s="167"/>
      <c r="E28" s="160"/>
      <c r="F28" s="160"/>
      <c r="G28" s="161"/>
      <c r="H28" s="161"/>
      <c r="I28" s="161"/>
      <c r="J28" s="162"/>
      <c r="K28" s="140"/>
    </row>
    <row r="29" spans="1:11" s="141" customFormat="1" ht="6.75" customHeight="1" x14ac:dyDescent="0.25">
      <c r="A29" s="140"/>
      <c r="B29" s="168"/>
      <c r="C29" s="162"/>
      <c r="D29" s="162"/>
      <c r="E29" s="160"/>
      <c r="F29" s="160"/>
      <c r="G29" s="168"/>
      <c r="H29" s="168"/>
      <c r="I29" s="168"/>
      <c r="J29" s="162"/>
      <c r="K29" s="140"/>
    </row>
    <row r="30" spans="1:11" ht="42.75" customHeight="1" x14ac:dyDescent="0.25">
      <c r="B30" s="169"/>
      <c r="C30" s="170"/>
      <c r="D30" s="170"/>
      <c r="E30" s="171"/>
      <c r="F30" s="172"/>
      <c r="G30" s="141"/>
      <c r="H30" s="141"/>
      <c r="I30" s="141"/>
    </row>
    <row r="31" spans="1:11" ht="16.5" customHeight="1" x14ac:dyDescent="0.25">
      <c r="C31" s="122"/>
      <c r="D31" s="122"/>
      <c r="E31" s="122"/>
    </row>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58" spans="2:12" ht="16.5" customHeight="1" x14ac:dyDescent="0.25"/>
    <row r="59" spans="2:12" ht="16.5" customHeight="1" x14ac:dyDescent="0.25"/>
    <row r="60" spans="2:12" ht="16.5" customHeight="1" x14ac:dyDescent="0.25"/>
    <row r="62" spans="2:12" s="118" customFormat="1" ht="0" hidden="1" customHeight="1" x14ac:dyDescent="0.25">
      <c r="B62" s="174"/>
      <c r="C62" s="175"/>
      <c r="D62" s="175"/>
      <c r="E62" s="175"/>
      <c r="F62" s="122"/>
      <c r="G62" s="122"/>
      <c r="H62" s="122"/>
      <c r="I62" s="122"/>
      <c r="J62" s="173"/>
      <c r="L62" s="122"/>
    </row>
    <row r="63" spans="2:12" s="118" customFormat="1" ht="0" hidden="1" customHeight="1" x14ac:dyDescent="0.25">
      <c r="B63" s="174"/>
      <c r="C63" s="175"/>
      <c r="D63" s="175"/>
      <c r="E63" s="175"/>
      <c r="F63" s="122"/>
      <c r="G63" s="122"/>
      <c r="H63" s="122"/>
      <c r="I63" s="122"/>
      <c r="J63" s="173"/>
      <c r="L63" s="122"/>
    </row>
    <row r="64" spans="2:12" s="118" customFormat="1" ht="0" hidden="1" customHeight="1" x14ac:dyDescent="0.25">
      <c r="B64" s="174"/>
      <c r="C64" s="175"/>
      <c r="D64" s="175"/>
      <c r="E64" s="175"/>
      <c r="F64" s="122"/>
      <c r="G64" s="122"/>
      <c r="H64" s="122"/>
      <c r="I64" s="122"/>
      <c r="J64" s="173"/>
      <c r="L64" s="122"/>
    </row>
    <row r="65" spans="2:12" s="118" customFormat="1" ht="0" hidden="1" customHeight="1" x14ac:dyDescent="0.25">
      <c r="B65" s="174"/>
      <c r="C65" s="175"/>
      <c r="D65" s="175"/>
      <c r="E65" s="175"/>
      <c r="F65" s="122"/>
      <c r="G65" s="122"/>
      <c r="H65" s="122"/>
      <c r="I65" s="122"/>
      <c r="J65" s="173"/>
      <c r="L65" s="122"/>
    </row>
    <row r="66" spans="2:12" s="118" customFormat="1" ht="0" hidden="1" customHeight="1" x14ac:dyDescent="0.25">
      <c r="B66" s="174"/>
      <c r="C66" s="175"/>
      <c r="D66" s="175"/>
      <c r="E66" s="175"/>
      <c r="F66" s="122"/>
      <c r="G66" s="122"/>
      <c r="H66" s="122"/>
      <c r="I66" s="122"/>
      <c r="J66" s="173"/>
      <c r="L66" s="122"/>
    </row>
    <row r="67" spans="2:12" s="118" customFormat="1" ht="0" hidden="1" customHeight="1" x14ac:dyDescent="0.25">
      <c r="B67" s="174"/>
      <c r="C67" s="175"/>
      <c r="D67" s="175"/>
      <c r="E67" s="175"/>
      <c r="F67" s="122"/>
      <c r="G67" s="122"/>
      <c r="H67" s="122"/>
      <c r="I67" s="122"/>
      <c r="J67" s="173"/>
      <c r="L67" s="122"/>
    </row>
    <row r="68" spans="2:12" s="118" customFormat="1" ht="0" hidden="1" customHeight="1" x14ac:dyDescent="0.25">
      <c r="B68" s="174"/>
      <c r="C68" s="175"/>
      <c r="D68" s="175"/>
      <c r="E68" s="175"/>
      <c r="F68" s="122"/>
      <c r="G68" s="122"/>
      <c r="H68" s="122"/>
      <c r="I68" s="122"/>
      <c r="J68" s="173"/>
      <c r="L68" s="122"/>
    </row>
    <row r="69" spans="2:12" s="118" customFormat="1" ht="0" hidden="1" customHeight="1" x14ac:dyDescent="0.25">
      <c r="B69" s="174"/>
      <c r="C69" s="175"/>
      <c r="D69" s="175"/>
      <c r="E69" s="175"/>
      <c r="F69" s="122"/>
      <c r="G69" s="122"/>
      <c r="H69" s="122"/>
      <c r="I69" s="122"/>
      <c r="J69" s="173"/>
      <c r="L69" s="122"/>
    </row>
    <row r="70" spans="2:12" s="118" customFormat="1" ht="0" hidden="1" customHeight="1" x14ac:dyDescent="0.25">
      <c r="B70" s="174"/>
      <c r="C70" s="175"/>
      <c r="D70" s="175"/>
      <c r="E70" s="175"/>
      <c r="F70" s="122"/>
      <c r="G70" s="122"/>
      <c r="H70" s="122"/>
      <c r="I70" s="122"/>
      <c r="J70" s="173"/>
      <c r="L70" s="122"/>
    </row>
    <row r="71" spans="2:12" s="118" customFormat="1" ht="15" customHeight="1" x14ac:dyDescent="0.25">
      <c r="B71" s="174"/>
      <c r="C71" s="175"/>
      <c r="D71" s="175"/>
      <c r="E71" s="175"/>
      <c r="F71" s="122"/>
      <c r="G71" s="122"/>
      <c r="H71" s="122"/>
      <c r="I71" s="122"/>
      <c r="J71" s="173"/>
      <c r="L71" s="122"/>
    </row>
    <row r="72" spans="2:12" s="118" customFormat="1" ht="15" customHeight="1" x14ac:dyDescent="0.25">
      <c r="B72" s="174"/>
      <c r="C72" s="175"/>
      <c r="D72" s="175"/>
      <c r="E72" s="175"/>
      <c r="F72" s="122"/>
      <c r="G72" s="122"/>
      <c r="H72" s="122"/>
      <c r="I72" s="122"/>
      <c r="J72" s="173"/>
      <c r="L72" s="122"/>
    </row>
    <row r="73" spans="2:12" s="118" customFormat="1" ht="15" customHeight="1" x14ac:dyDescent="0.25">
      <c r="B73" s="174"/>
      <c r="C73" s="175"/>
      <c r="D73" s="175"/>
      <c r="E73" s="175"/>
      <c r="F73" s="122"/>
      <c r="G73" s="122"/>
      <c r="H73" s="122"/>
      <c r="I73" s="122"/>
      <c r="J73" s="173"/>
      <c r="L73" s="122"/>
    </row>
    <row r="74" spans="2:12" s="118" customFormat="1" ht="15" customHeight="1" x14ac:dyDescent="0.25">
      <c r="B74" s="174"/>
      <c r="C74" s="175"/>
      <c r="D74" s="175"/>
      <c r="E74" s="175"/>
      <c r="F74" s="122"/>
      <c r="G74" s="122"/>
      <c r="H74" s="122"/>
      <c r="I74" s="122"/>
      <c r="J74" s="173"/>
      <c r="L74" s="122"/>
    </row>
    <row r="75" spans="2:12" s="118" customFormat="1" ht="15" customHeight="1" x14ac:dyDescent="0.25">
      <c r="B75" s="174"/>
      <c r="C75" s="175"/>
      <c r="D75" s="175"/>
      <c r="E75" s="175"/>
      <c r="F75" s="122"/>
      <c r="G75" s="122"/>
      <c r="H75" s="122"/>
      <c r="I75" s="122"/>
      <c r="J75" s="173"/>
      <c r="L75" s="122"/>
    </row>
    <row r="76" spans="2:12" s="118" customFormat="1" ht="15" customHeight="1" x14ac:dyDescent="0.25">
      <c r="B76" s="174"/>
      <c r="C76" s="175"/>
      <c r="D76" s="175"/>
      <c r="E76" s="175"/>
      <c r="F76" s="122"/>
      <c r="G76" s="122"/>
      <c r="H76" s="122"/>
      <c r="I76" s="122"/>
      <c r="J76" s="173"/>
      <c r="L76" s="122"/>
    </row>
    <row r="77" spans="2:12" s="118" customFormat="1" ht="15" customHeight="1" x14ac:dyDescent="0.25">
      <c r="B77" s="174"/>
      <c r="C77" s="175"/>
      <c r="D77" s="175"/>
      <c r="E77" s="175"/>
      <c r="F77" s="122"/>
      <c r="G77" s="122"/>
      <c r="H77" s="122"/>
      <c r="I77" s="122"/>
      <c r="J77" s="173"/>
      <c r="L77" s="122"/>
    </row>
    <row r="78" spans="2:12" s="118" customFormat="1" ht="15" customHeight="1" x14ac:dyDescent="0.25">
      <c r="B78" s="174"/>
      <c r="C78" s="175"/>
      <c r="D78" s="175"/>
      <c r="E78" s="175"/>
      <c r="F78" s="122"/>
      <c r="G78" s="122"/>
      <c r="H78" s="122"/>
      <c r="I78" s="122"/>
      <c r="J78" s="173"/>
      <c r="L78" s="122"/>
    </row>
    <row r="79" spans="2:12" s="118" customFormat="1" ht="15" customHeight="1" x14ac:dyDescent="0.25">
      <c r="B79" s="174"/>
      <c r="C79" s="175"/>
      <c r="D79" s="175"/>
      <c r="E79" s="175"/>
      <c r="F79" s="122"/>
      <c r="G79" s="122"/>
      <c r="H79" s="122"/>
      <c r="I79" s="122"/>
      <c r="J79" s="173"/>
      <c r="L79" s="122"/>
    </row>
    <row r="80" spans="2:12" s="118" customFormat="1" ht="15" customHeight="1" x14ac:dyDescent="0.25">
      <c r="B80" s="174"/>
      <c r="C80" s="175"/>
      <c r="D80" s="175"/>
      <c r="E80" s="175"/>
      <c r="F80" s="122"/>
      <c r="G80" s="122"/>
      <c r="H80" s="122"/>
      <c r="I80" s="122"/>
      <c r="J80" s="173"/>
      <c r="L80" s="122"/>
    </row>
    <row r="81" spans="2:12" s="118" customFormat="1" ht="15" customHeight="1" x14ac:dyDescent="0.25">
      <c r="B81" s="174"/>
      <c r="C81" s="175"/>
      <c r="D81" s="175"/>
      <c r="E81" s="175"/>
      <c r="F81" s="122"/>
      <c r="G81" s="122"/>
      <c r="H81" s="122"/>
      <c r="I81" s="122"/>
      <c r="J81" s="173"/>
      <c r="L81" s="122"/>
    </row>
    <row r="82" spans="2:12" s="118" customFormat="1" ht="15" customHeight="1" x14ac:dyDescent="0.25">
      <c r="B82" s="174"/>
      <c r="C82" s="175"/>
      <c r="D82" s="175"/>
      <c r="E82" s="175"/>
      <c r="F82" s="122"/>
      <c r="G82" s="122"/>
      <c r="H82" s="122"/>
      <c r="I82" s="122"/>
      <c r="J82" s="173"/>
      <c r="L82" s="122"/>
    </row>
    <row r="83" spans="2:12" s="118" customFormat="1" ht="15" customHeight="1" x14ac:dyDescent="0.25">
      <c r="B83" s="174"/>
      <c r="C83" s="175"/>
      <c r="D83" s="175"/>
      <c r="E83" s="175"/>
      <c r="F83" s="122"/>
      <c r="G83" s="122"/>
      <c r="H83" s="122"/>
      <c r="I83" s="122"/>
      <c r="J83" s="173"/>
      <c r="L83" s="122"/>
    </row>
    <row r="84" spans="2:12" s="118" customFormat="1" ht="15" customHeight="1" x14ac:dyDescent="0.25">
      <c r="B84" s="174"/>
      <c r="C84" s="175"/>
      <c r="D84" s="175"/>
      <c r="E84" s="175"/>
      <c r="F84" s="122"/>
      <c r="G84" s="122"/>
      <c r="H84" s="122"/>
      <c r="I84" s="122"/>
      <c r="J84" s="173"/>
      <c r="L84" s="122"/>
    </row>
    <row r="85" spans="2:12" s="118" customFormat="1" ht="15" customHeight="1" x14ac:dyDescent="0.25">
      <c r="B85" s="174"/>
      <c r="C85" s="175"/>
      <c r="D85" s="175"/>
      <c r="E85" s="175"/>
      <c r="F85" s="122"/>
      <c r="G85" s="122"/>
      <c r="H85" s="122"/>
      <c r="I85" s="122"/>
      <c r="J85" s="173"/>
      <c r="L85" s="122"/>
    </row>
    <row r="86" spans="2:12" s="118" customFormat="1" ht="15" customHeight="1" x14ac:dyDescent="0.25">
      <c r="B86" s="174"/>
      <c r="C86" s="175"/>
      <c r="D86" s="175"/>
      <c r="E86" s="175"/>
      <c r="F86" s="122"/>
      <c r="G86" s="122"/>
      <c r="H86" s="122"/>
      <c r="I86" s="122"/>
      <c r="J86" s="173"/>
      <c r="L86" s="122"/>
    </row>
    <row r="87" spans="2:12" s="118" customFormat="1" ht="15" customHeight="1" x14ac:dyDescent="0.25">
      <c r="B87" s="174"/>
      <c r="C87" s="175"/>
      <c r="D87" s="175"/>
      <c r="E87" s="175"/>
      <c r="F87" s="122"/>
      <c r="G87" s="122"/>
      <c r="H87" s="122"/>
      <c r="I87" s="122"/>
      <c r="J87" s="173"/>
      <c r="L87" s="122"/>
    </row>
    <row r="88" spans="2:12" s="118" customFormat="1" ht="15" customHeight="1" x14ac:dyDescent="0.25">
      <c r="B88" s="174"/>
      <c r="C88" s="175"/>
      <c r="D88" s="175"/>
      <c r="E88" s="175"/>
      <c r="F88" s="122"/>
      <c r="G88" s="122"/>
      <c r="H88" s="122"/>
      <c r="I88" s="122"/>
      <c r="J88" s="173"/>
      <c r="L88" s="122"/>
    </row>
    <row r="89" spans="2:12" s="118" customFormat="1" ht="15" customHeight="1" x14ac:dyDescent="0.25">
      <c r="B89" s="174"/>
      <c r="C89" s="175"/>
      <c r="D89" s="175"/>
      <c r="E89" s="175"/>
      <c r="F89" s="122"/>
      <c r="G89" s="122"/>
      <c r="H89" s="122"/>
      <c r="I89" s="122"/>
      <c r="J89" s="173"/>
      <c r="L89" s="122"/>
    </row>
    <row r="90" spans="2:12" s="118" customFormat="1" ht="15" customHeight="1" x14ac:dyDescent="0.25">
      <c r="B90" s="174"/>
      <c r="C90" s="175"/>
      <c r="D90" s="175"/>
      <c r="E90" s="175"/>
      <c r="F90" s="122"/>
      <c r="G90" s="122"/>
      <c r="H90" s="122"/>
      <c r="I90" s="122"/>
      <c r="J90" s="173"/>
      <c r="L90" s="122"/>
    </row>
    <row r="91" spans="2:12" s="118" customFormat="1" ht="15" customHeight="1" x14ac:dyDescent="0.25">
      <c r="B91" s="174"/>
      <c r="C91" s="175"/>
      <c r="D91" s="175"/>
      <c r="E91" s="175"/>
      <c r="F91" s="122"/>
      <c r="G91" s="122"/>
      <c r="H91" s="122"/>
      <c r="I91" s="122"/>
      <c r="J91" s="173"/>
      <c r="L91" s="122"/>
    </row>
    <row r="92" spans="2:12" s="118" customFormat="1" ht="15" customHeight="1" x14ac:dyDescent="0.25">
      <c r="B92" s="174"/>
      <c r="C92" s="175"/>
      <c r="D92" s="175"/>
      <c r="E92" s="175"/>
      <c r="F92" s="122"/>
      <c r="G92" s="122"/>
      <c r="H92" s="122"/>
      <c r="I92" s="122"/>
      <c r="J92" s="173"/>
      <c r="L92" s="122"/>
    </row>
    <row r="93" spans="2:12" s="118" customFormat="1" ht="15" customHeight="1" x14ac:dyDescent="0.25">
      <c r="B93" s="174"/>
      <c r="C93" s="175"/>
      <c r="D93" s="175"/>
      <c r="E93" s="175"/>
      <c r="F93" s="122"/>
      <c r="G93" s="122"/>
      <c r="H93" s="122"/>
      <c r="I93" s="122"/>
      <c r="J93" s="173"/>
      <c r="L93" s="122"/>
    </row>
    <row r="94" spans="2:12" s="118" customFormat="1" ht="15" customHeight="1" x14ac:dyDescent="0.25">
      <c r="B94" s="174"/>
      <c r="C94" s="175"/>
      <c r="D94" s="175"/>
      <c r="E94" s="175"/>
      <c r="F94" s="122"/>
      <c r="G94" s="122"/>
      <c r="H94" s="122"/>
      <c r="I94" s="122"/>
      <c r="J94" s="173"/>
      <c r="L94" s="122"/>
    </row>
    <row r="95" spans="2:12" s="118" customFormat="1" ht="15" customHeight="1" x14ac:dyDescent="0.25">
      <c r="B95" s="174"/>
      <c r="C95" s="175"/>
      <c r="D95" s="175"/>
      <c r="E95" s="175"/>
      <c r="F95" s="122"/>
      <c r="G95" s="122"/>
      <c r="H95" s="122"/>
      <c r="I95" s="122"/>
      <c r="J95" s="173"/>
      <c r="L95" s="122"/>
    </row>
    <row r="96" spans="2:12" s="118" customFormat="1" ht="15" customHeight="1" x14ac:dyDescent="0.25">
      <c r="B96" s="174"/>
      <c r="C96" s="175"/>
      <c r="D96" s="175"/>
      <c r="E96" s="175"/>
      <c r="F96" s="122"/>
      <c r="G96" s="122"/>
      <c r="H96" s="122"/>
      <c r="I96" s="122"/>
      <c r="J96" s="173"/>
      <c r="L96" s="122"/>
    </row>
    <row r="97" spans="2:12" s="118" customFormat="1" ht="15" customHeight="1" x14ac:dyDescent="0.25">
      <c r="B97" s="174"/>
      <c r="C97" s="175"/>
      <c r="D97" s="175"/>
      <c r="E97" s="175"/>
      <c r="F97" s="122"/>
      <c r="G97" s="122"/>
      <c r="H97" s="122"/>
      <c r="I97" s="122"/>
      <c r="J97" s="173"/>
      <c r="L97" s="122"/>
    </row>
  </sheetData>
  <mergeCells count="17">
    <mergeCell ref="D24:E24"/>
    <mergeCell ref="G11:H11"/>
    <mergeCell ref="J11:J12"/>
    <mergeCell ref="B20:J20"/>
    <mergeCell ref="C21:F21"/>
    <mergeCell ref="D22:E22"/>
    <mergeCell ref="D23:E23"/>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8"/>
  <sheetViews>
    <sheetView zoomScale="80" zoomScaleNormal="80" workbookViewId="0">
      <selection activeCell="C6" sqref="C6:H6"/>
    </sheetView>
  </sheetViews>
  <sheetFormatPr baseColWidth="10" defaultColWidth="11.42578125" defaultRowHeight="0" customHeight="1" zeroHeight="1" x14ac:dyDescent="0.25"/>
  <cols>
    <col min="1" max="1" width="2.42578125" style="118" customWidth="1"/>
    <col min="2" max="2" width="4.42578125" style="174" customWidth="1"/>
    <col min="3" max="3" width="30" style="175" customWidth="1"/>
    <col min="4" max="4" width="21.85546875" style="175" customWidth="1"/>
    <col min="5" max="5" width="30" style="175" customWidth="1"/>
    <col min="6" max="6" width="23.42578125" style="122" customWidth="1"/>
    <col min="7" max="8" width="13.42578125" style="122" customWidth="1"/>
    <col min="9" max="9" width="14.5703125" style="122" customWidth="1"/>
    <col min="10" max="10" width="57.140625" style="173" customWidth="1"/>
    <col min="11" max="11" width="4.28515625" style="118" customWidth="1"/>
    <col min="12" max="16384" width="11.42578125" style="122"/>
  </cols>
  <sheetData>
    <row r="1" spans="1:11" ht="18.75" customHeight="1" x14ac:dyDescent="0.25">
      <c r="B1" s="119"/>
      <c r="C1" s="119"/>
      <c r="D1" s="120"/>
      <c r="E1" s="120"/>
      <c r="F1" s="120"/>
      <c r="G1" s="120"/>
      <c r="H1" s="120"/>
      <c r="I1" s="120"/>
      <c r="J1" s="121"/>
    </row>
    <row r="2" spans="1:11" ht="18.75" customHeight="1" x14ac:dyDescent="0.25">
      <c r="B2" s="123"/>
      <c r="C2" s="811" t="s">
        <v>767</v>
      </c>
      <c r="D2" s="811"/>
      <c r="E2" s="811"/>
      <c r="F2" s="811"/>
      <c r="G2" s="811"/>
      <c r="H2" s="811"/>
      <c r="I2" s="811"/>
      <c r="J2" s="811"/>
    </row>
    <row r="3" spans="1:11" ht="18.75" customHeight="1" x14ac:dyDescent="0.25">
      <c r="B3" s="123"/>
      <c r="C3" s="124"/>
      <c r="D3" s="125"/>
      <c r="E3" s="124"/>
      <c r="F3" s="126"/>
      <c r="G3" s="127"/>
      <c r="H3" s="128"/>
      <c r="I3" s="128"/>
      <c r="J3" s="129"/>
    </row>
    <row r="4" spans="1:11" ht="75.75" customHeight="1" x14ac:dyDescent="0.25">
      <c r="B4" s="123"/>
      <c r="C4" s="130" t="s">
        <v>478</v>
      </c>
      <c r="D4" s="863" t="s">
        <v>761</v>
      </c>
      <c r="E4" s="863"/>
      <c r="F4" s="863"/>
      <c r="G4" s="863"/>
      <c r="H4" s="863"/>
      <c r="I4" s="863"/>
      <c r="J4" s="863"/>
    </row>
    <row r="5" spans="1:11" ht="8.25" customHeight="1" x14ac:dyDescent="0.25">
      <c r="B5" s="123"/>
      <c r="C5" s="131"/>
      <c r="D5" s="132"/>
      <c r="E5" s="124"/>
      <c r="F5" s="133"/>
      <c r="G5" s="133"/>
      <c r="H5" s="133"/>
      <c r="I5" s="133"/>
      <c r="J5" s="129"/>
    </row>
    <row r="6" spans="1:11" ht="18" customHeight="1" x14ac:dyDescent="0.25">
      <c r="B6" s="123"/>
      <c r="C6" s="130" t="s">
        <v>480</v>
      </c>
      <c r="D6" s="812">
        <v>1</v>
      </c>
      <c r="E6" s="812"/>
      <c r="F6" s="812"/>
      <c r="G6" s="812"/>
      <c r="H6" s="812"/>
      <c r="I6" s="305"/>
      <c r="J6" s="305"/>
    </row>
    <row r="7" spans="1:11" ht="8.25" customHeight="1" x14ac:dyDescent="0.25">
      <c r="B7" s="123"/>
      <c r="C7" s="135"/>
      <c r="D7" s="135"/>
      <c r="E7" s="135"/>
      <c r="F7" s="136"/>
      <c r="G7" s="136"/>
      <c r="H7" s="136"/>
      <c r="I7" s="136"/>
      <c r="J7" s="129"/>
    </row>
    <row r="8" spans="1:11" ht="18" customHeight="1" x14ac:dyDescent="0.25">
      <c r="B8" s="123"/>
      <c r="C8" s="130" t="s">
        <v>520</v>
      </c>
      <c r="D8" s="813">
        <v>44225</v>
      </c>
      <c r="E8" s="812"/>
      <c r="F8" s="812"/>
      <c r="G8" s="812"/>
      <c r="H8" s="812"/>
      <c r="I8" s="305"/>
      <c r="J8" s="305"/>
    </row>
    <row r="9" spans="1:11" ht="8.25" customHeight="1" thickBot="1" x14ac:dyDescent="0.3">
      <c r="B9" s="123"/>
      <c r="C9" s="137"/>
      <c r="D9" s="137"/>
      <c r="E9" s="137"/>
      <c r="F9" s="138"/>
      <c r="G9" s="138"/>
      <c r="H9" s="138"/>
      <c r="I9" s="138"/>
      <c r="J9" s="139"/>
    </row>
    <row r="10" spans="1:11" ht="18" customHeight="1" x14ac:dyDescent="0.25">
      <c r="B10" s="808" t="s">
        <v>357</v>
      </c>
      <c r="C10" s="831"/>
      <c r="D10" s="831"/>
      <c r="E10" s="831"/>
      <c r="F10" s="831"/>
      <c r="G10" s="831"/>
      <c r="H10" s="831"/>
      <c r="I10" s="831"/>
      <c r="J10" s="809"/>
    </row>
    <row r="11" spans="1:11" ht="18" customHeight="1" x14ac:dyDescent="0.25">
      <c r="B11" s="828" t="s">
        <v>358</v>
      </c>
      <c r="C11" s="818" t="s">
        <v>360</v>
      </c>
      <c r="D11" s="818" t="s">
        <v>361</v>
      </c>
      <c r="E11" s="818" t="s">
        <v>362</v>
      </c>
      <c r="F11" s="818" t="s">
        <v>363</v>
      </c>
      <c r="G11" s="818" t="s">
        <v>364</v>
      </c>
      <c r="H11" s="818"/>
      <c r="I11" s="303" t="s">
        <v>365</v>
      </c>
      <c r="J11" s="819" t="s">
        <v>29</v>
      </c>
    </row>
    <row r="12" spans="1:11" s="141" customFormat="1" ht="18" customHeight="1" thickBot="1" x14ac:dyDescent="0.3">
      <c r="A12" s="140"/>
      <c r="B12" s="829"/>
      <c r="C12" s="830"/>
      <c r="D12" s="830"/>
      <c r="E12" s="830"/>
      <c r="F12" s="830"/>
      <c r="G12" s="304" t="s">
        <v>366</v>
      </c>
      <c r="H12" s="304" t="s">
        <v>367</v>
      </c>
      <c r="I12" s="354">
        <f>SUM(I13:I16)</f>
        <v>1</v>
      </c>
      <c r="J12" s="820"/>
      <c r="K12" s="140"/>
    </row>
    <row r="13" spans="1:11" s="141" customFormat="1" ht="58.5" customHeight="1" x14ac:dyDescent="0.25">
      <c r="A13" s="140"/>
      <c r="B13" s="142">
        <v>1</v>
      </c>
      <c r="C13" s="176" t="s">
        <v>768</v>
      </c>
      <c r="D13" s="176" t="s">
        <v>521</v>
      </c>
      <c r="E13" s="143" t="s">
        <v>769</v>
      </c>
      <c r="F13" s="144">
        <v>1</v>
      </c>
      <c r="G13" s="145">
        <v>44256</v>
      </c>
      <c r="H13" s="145">
        <v>44560</v>
      </c>
      <c r="I13" s="226">
        <v>0.2</v>
      </c>
      <c r="J13" s="177"/>
      <c r="K13" s="140"/>
    </row>
    <row r="14" spans="1:11" s="141" customFormat="1" ht="45" customHeight="1" x14ac:dyDescent="0.25">
      <c r="A14" s="140"/>
      <c r="B14" s="147">
        <v>2</v>
      </c>
      <c r="C14" s="178" t="s">
        <v>770</v>
      </c>
      <c r="D14" s="179" t="s">
        <v>521</v>
      </c>
      <c r="E14" s="149" t="s">
        <v>771</v>
      </c>
      <c r="F14" s="150">
        <v>1</v>
      </c>
      <c r="G14" s="151">
        <v>44256</v>
      </c>
      <c r="H14" s="151">
        <v>44469</v>
      </c>
      <c r="I14" s="227">
        <v>0.3</v>
      </c>
      <c r="J14" s="180"/>
      <c r="K14" s="140"/>
    </row>
    <row r="15" spans="1:11" s="141" customFormat="1" ht="45" customHeight="1" x14ac:dyDescent="0.25">
      <c r="A15" s="140"/>
      <c r="B15" s="147">
        <v>3</v>
      </c>
      <c r="C15" s="178" t="s">
        <v>772</v>
      </c>
      <c r="D15" s="179" t="s">
        <v>521</v>
      </c>
      <c r="E15" s="149" t="s">
        <v>773</v>
      </c>
      <c r="F15" s="150">
        <v>1</v>
      </c>
      <c r="G15" s="151">
        <v>44228</v>
      </c>
      <c r="H15" s="151">
        <v>44560</v>
      </c>
      <c r="I15" s="227">
        <v>0.4</v>
      </c>
      <c r="J15" s="180"/>
      <c r="K15" s="140"/>
    </row>
    <row r="16" spans="1:11" s="141" customFormat="1" ht="45" customHeight="1" thickBot="1" x14ac:dyDescent="0.3">
      <c r="A16" s="140"/>
      <c r="B16" s="153">
        <v>4</v>
      </c>
      <c r="C16" s="154" t="s">
        <v>774</v>
      </c>
      <c r="D16" s="155" t="s">
        <v>521</v>
      </c>
      <c r="E16" s="156" t="s">
        <v>775</v>
      </c>
      <c r="F16" s="158">
        <v>1</v>
      </c>
      <c r="G16" s="157">
        <v>44287</v>
      </c>
      <c r="H16" s="157">
        <v>44560</v>
      </c>
      <c r="I16" s="356">
        <v>0.1</v>
      </c>
      <c r="J16" s="159"/>
      <c r="K16" s="140"/>
    </row>
    <row r="17" spans="1:11" s="141" customFormat="1" ht="33" customHeight="1" thickBot="1" x14ac:dyDescent="0.3">
      <c r="A17" s="140"/>
      <c r="B17" s="821" t="s">
        <v>487</v>
      </c>
      <c r="C17" s="821"/>
      <c r="D17" s="821"/>
      <c r="E17" s="821"/>
      <c r="F17" s="821"/>
      <c r="G17" s="821"/>
      <c r="H17" s="821"/>
      <c r="I17" s="821"/>
      <c r="J17" s="821"/>
      <c r="K17" s="140"/>
    </row>
    <row r="18" spans="1:11" s="141" customFormat="1" ht="21.75" customHeight="1" x14ac:dyDescent="0.25">
      <c r="A18" s="140"/>
      <c r="B18" s="160"/>
      <c r="C18" s="822" t="s">
        <v>488</v>
      </c>
      <c r="D18" s="823"/>
      <c r="E18" s="823"/>
      <c r="F18" s="824"/>
      <c r="G18" s="161"/>
      <c r="H18" s="161"/>
      <c r="I18" s="161"/>
      <c r="J18" s="162"/>
      <c r="K18" s="140"/>
    </row>
    <row r="19" spans="1:11" s="141" customFormat="1" ht="21.75" customHeight="1" thickBot="1" x14ac:dyDescent="0.3">
      <c r="A19" s="140"/>
      <c r="B19" s="160"/>
      <c r="C19" s="357" t="s">
        <v>355</v>
      </c>
      <c r="D19" s="864" t="s">
        <v>489</v>
      </c>
      <c r="E19" s="864"/>
      <c r="F19" s="358" t="s">
        <v>490</v>
      </c>
      <c r="G19" s="161"/>
      <c r="H19" s="161"/>
      <c r="I19" s="161"/>
      <c r="J19" s="162"/>
      <c r="K19" s="140"/>
    </row>
    <row r="20" spans="1:11" s="141" customFormat="1" ht="28.5" customHeight="1" x14ac:dyDescent="0.2">
      <c r="A20" s="140"/>
      <c r="B20" s="160"/>
      <c r="C20" s="359">
        <v>1</v>
      </c>
      <c r="D20" s="865" t="s">
        <v>491</v>
      </c>
      <c r="E20" s="866"/>
      <c r="F20" s="360">
        <v>44224</v>
      </c>
      <c r="G20" s="161"/>
      <c r="H20" s="161"/>
      <c r="I20" s="161"/>
      <c r="J20" s="162"/>
      <c r="K20" s="140"/>
    </row>
    <row r="21" spans="1:11" s="141" customFormat="1" ht="28.5" customHeight="1" thickBot="1" x14ac:dyDescent="0.3">
      <c r="A21" s="140"/>
      <c r="B21" s="160"/>
      <c r="C21" s="165"/>
      <c r="D21" s="817"/>
      <c r="E21" s="817"/>
      <c r="F21" s="166"/>
      <c r="G21" s="161"/>
      <c r="H21" s="161"/>
      <c r="I21" s="161"/>
      <c r="J21" s="162"/>
      <c r="K21" s="140"/>
    </row>
    <row r="22" spans="1:11" s="141" customFormat="1" ht="33" customHeight="1" x14ac:dyDescent="0.25">
      <c r="A22" s="140"/>
      <c r="B22" s="160"/>
      <c r="C22" s="167"/>
      <c r="D22" s="167"/>
      <c r="E22" s="160"/>
      <c r="F22" s="160"/>
      <c r="G22" s="161"/>
      <c r="H22" s="161"/>
      <c r="I22" s="161"/>
      <c r="J22" s="162"/>
      <c r="K22" s="140"/>
    </row>
    <row r="23" spans="1:11" s="141" customFormat="1" ht="33" customHeight="1" x14ac:dyDescent="0.25">
      <c r="A23" s="140"/>
      <c r="B23" s="160"/>
      <c r="C23" s="167"/>
      <c r="D23" s="167"/>
      <c r="E23" s="160"/>
      <c r="F23" s="160"/>
      <c r="G23" s="161"/>
      <c r="H23" s="161"/>
      <c r="I23" s="161"/>
      <c r="J23" s="162"/>
      <c r="K23" s="140"/>
    </row>
    <row r="24" spans="1:11" s="141" customFormat="1" ht="33" customHeight="1" x14ac:dyDescent="0.25">
      <c r="A24" s="140"/>
      <c r="B24" s="160"/>
      <c r="C24" s="167"/>
      <c r="D24" s="167"/>
      <c r="E24" s="160"/>
      <c r="F24" s="160"/>
      <c r="G24" s="161"/>
      <c r="H24" s="161"/>
      <c r="I24" s="161"/>
      <c r="J24" s="162"/>
      <c r="K24" s="140"/>
    </row>
    <row r="25" spans="1:11" s="141" customFormat="1" ht="33" customHeight="1" x14ac:dyDescent="0.25">
      <c r="A25" s="140"/>
      <c r="B25" s="160"/>
      <c r="C25" s="167"/>
      <c r="D25" s="167"/>
      <c r="E25" s="160"/>
      <c r="F25" s="160"/>
      <c r="G25" s="161"/>
      <c r="H25" s="161"/>
      <c r="I25" s="161"/>
      <c r="J25" s="162"/>
      <c r="K25" s="140"/>
    </row>
    <row r="26" spans="1:11" s="141" customFormat="1" ht="6.75" customHeight="1" x14ac:dyDescent="0.25">
      <c r="A26" s="140"/>
      <c r="B26" s="168"/>
      <c r="C26" s="162"/>
      <c r="D26" s="162"/>
      <c r="E26" s="160"/>
      <c r="F26" s="160"/>
      <c r="G26" s="168"/>
      <c r="H26" s="168"/>
      <c r="I26" s="168"/>
      <c r="J26" s="162"/>
      <c r="K26" s="140"/>
    </row>
    <row r="27" spans="1:11" ht="42.75" customHeight="1" x14ac:dyDescent="0.25">
      <c r="B27" s="169"/>
      <c r="C27" s="170"/>
      <c r="D27" s="170"/>
      <c r="E27" s="171"/>
      <c r="F27" s="172"/>
      <c r="G27" s="141"/>
      <c r="H27" s="141"/>
      <c r="I27" s="141"/>
    </row>
    <row r="28" spans="1:11" ht="16.5" customHeight="1" x14ac:dyDescent="0.25">
      <c r="C28" s="122"/>
      <c r="D28" s="122"/>
      <c r="E28" s="122"/>
    </row>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62" spans="2:12" s="118" customFormat="1" ht="0" hidden="1" customHeight="1" x14ac:dyDescent="0.25">
      <c r="B62" s="174"/>
      <c r="C62" s="175"/>
      <c r="D62" s="175"/>
      <c r="E62" s="175"/>
      <c r="F62" s="122"/>
      <c r="G62" s="122"/>
      <c r="H62" s="122"/>
      <c r="I62" s="122"/>
      <c r="J62" s="173"/>
      <c r="L62" s="122"/>
    </row>
    <row r="63" spans="2:12" s="118" customFormat="1" ht="0" hidden="1" customHeight="1" x14ac:dyDescent="0.25">
      <c r="B63" s="174"/>
      <c r="C63" s="175"/>
      <c r="D63" s="175"/>
      <c r="E63" s="175"/>
      <c r="F63" s="122"/>
      <c r="G63" s="122"/>
      <c r="H63" s="122"/>
      <c r="I63" s="122"/>
      <c r="J63" s="173"/>
      <c r="L63" s="122"/>
    </row>
    <row r="64" spans="2:12" s="118" customFormat="1" ht="0" hidden="1" customHeight="1" x14ac:dyDescent="0.25">
      <c r="B64" s="174"/>
      <c r="C64" s="175"/>
      <c r="D64" s="175"/>
      <c r="E64" s="175"/>
      <c r="F64" s="122"/>
      <c r="G64" s="122"/>
      <c r="H64" s="122"/>
      <c r="I64" s="122"/>
      <c r="J64" s="173"/>
      <c r="L64" s="122"/>
    </row>
    <row r="65" spans="2:12" s="118" customFormat="1" ht="0" hidden="1" customHeight="1" x14ac:dyDescent="0.25">
      <c r="B65" s="174"/>
      <c r="C65" s="175"/>
      <c r="D65" s="175"/>
      <c r="E65" s="175"/>
      <c r="F65" s="122"/>
      <c r="G65" s="122"/>
      <c r="H65" s="122"/>
      <c r="I65" s="122"/>
      <c r="J65" s="173"/>
      <c r="L65" s="122"/>
    </row>
    <row r="66" spans="2:12" s="118" customFormat="1" ht="0" hidden="1" customHeight="1" x14ac:dyDescent="0.25">
      <c r="B66" s="174"/>
      <c r="C66" s="175"/>
      <c r="D66" s="175"/>
      <c r="E66" s="175"/>
      <c r="F66" s="122"/>
      <c r="G66" s="122"/>
      <c r="H66" s="122"/>
      <c r="I66" s="122"/>
      <c r="J66" s="173"/>
      <c r="L66" s="122"/>
    </row>
    <row r="67" spans="2:12" s="118" customFormat="1" ht="0" hidden="1" customHeight="1" x14ac:dyDescent="0.25">
      <c r="B67" s="174"/>
      <c r="C67" s="175"/>
      <c r="D67" s="175"/>
      <c r="E67" s="175"/>
      <c r="F67" s="122"/>
      <c r="G67" s="122"/>
      <c r="H67" s="122"/>
      <c r="I67" s="122"/>
      <c r="J67" s="173"/>
      <c r="L67" s="122"/>
    </row>
    <row r="68" spans="2:12" s="118" customFormat="1" ht="15" customHeight="1" x14ac:dyDescent="0.25">
      <c r="B68" s="174"/>
      <c r="C68" s="175"/>
      <c r="D68" s="175"/>
      <c r="E68" s="175"/>
      <c r="F68" s="122"/>
      <c r="G68" s="122"/>
      <c r="H68" s="122"/>
      <c r="I68" s="122"/>
      <c r="J68" s="173"/>
      <c r="L68" s="122"/>
    </row>
    <row r="69" spans="2:12" s="118" customFormat="1" ht="15" customHeight="1" x14ac:dyDescent="0.25">
      <c r="B69" s="174"/>
      <c r="C69" s="175"/>
      <c r="D69" s="175"/>
      <c r="E69" s="175"/>
      <c r="F69" s="122"/>
      <c r="G69" s="122"/>
      <c r="H69" s="122"/>
      <c r="I69" s="122"/>
      <c r="J69" s="173"/>
      <c r="L69" s="122"/>
    </row>
    <row r="70" spans="2:12" s="118" customFormat="1" ht="15" customHeight="1" x14ac:dyDescent="0.25">
      <c r="B70" s="174"/>
      <c r="C70" s="175"/>
      <c r="D70" s="175"/>
      <c r="E70" s="175"/>
      <c r="F70" s="122"/>
      <c r="G70" s="122"/>
      <c r="H70" s="122"/>
      <c r="I70" s="122"/>
      <c r="J70" s="173"/>
      <c r="L70" s="122"/>
    </row>
    <row r="71" spans="2:12" s="118" customFormat="1" ht="15" customHeight="1" x14ac:dyDescent="0.25">
      <c r="B71" s="174"/>
      <c r="C71" s="175"/>
      <c r="D71" s="175"/>
      <c r="E71" s="175"/>
      <c r="F71" s="122"/>
      <c r="G71" s="122"/>
      <c r="H71" s="122"/>
      <c r="I71" s="122"/>
      <c r="J71" s="173"/>
      <c r="L71" s="122"/>
    </row>
    <row r="72" spans="2:12" s="118" customFormat="1" ht="15" customHeight="1" x14ac:dyDescent="0.25">
      <c r="B72" s="174"/>
      <c r="C72" s="175"/>
      <c r="D72" s="175"/>
      <c r="E72" s="175"/>
      <c r="F72" s="122"/>
      <c r="G72" s="122"/>
      <c r="H72" s="122"/>
      <c r="I72" s="122"/>
      <c r="J72" s="173"/>
      <c r="L72" s="122"/>
    </row>
    <row r="73" spans="2:12" s="118" customFormat="1" ht="15" customHeight="1" x14ac:dyDescent="0.25">
      <c r="B73" s="174"/>
      <c r="C73" s="175"/>
      <c r="D73" s="175"/>
      <c r="E73" s="175"/>
      <c r="F73" s="122"/>
      <c r="G73" s="122"/>
      <c r="H73" s="122"/>
      <c r="I73" s="122"/>
      <c r="J73" s="173"/>
      <c r="L73" s="122"/>
    </row>
    <row r="74" spans="2:12" s="118" customFormat="1" ht="15" customHeight="1" x14ac:dyDescent="0.25">
      <c r="B74" s="174"/>
      <c r="C74" s="175"/>
      <c r="D74" s="175"/>
      <c r="E74" s="175"/>
      <c r="F74" s="122"/>
      <c r="G74" s="122"/>
      <c r="H74" s="122"/>
      <c r="I74" s="122"/>
      <c r="J74" s="173"/>
      <c r="L74" s="122"/>
    </row>
    <row r="75" spans="2:12" s="118" customFormat="1" ht="15" customHeight="1" x14ac:dyDescent="0.25">
      <c r="B75" s="174"/>
      <c r="C75" s="175"/>
      <c r="D75" s="175"/>
      <c r="E75" s="175"/>
      <c r="F75" s="122"/>
      <c r="G75" s="122"/>
      <c r="H75" s="122"/>
      <c r="I75" s="122"/>
      <c r="J75" s="173"/>
      <c r="L75" s="122"/>
    </row>
    <row r="76" spans="2:12" s="118" customFormat="1" ht="15" customHeight="1" x14ac:dyDescent="0.25">
      <c r="B76" s="174"/>
      <c r="C76" s="175"/>
      <c r="D76" s="175"/>
      <c r="E76" s="175"/>
      <c r="F76" s="122"/>
      <c r="G76" s="122"/>
      <c r="H76" s="122"/>
      <c r="I76" s="122"/>
      <c r="J76" s="173"/>
      <c r="L76" s="122"/>
    </row>
    <row r="77" spans="2:12" s="118" customFormat="1" ht="15" customHeight="1" x14ac:dyDescent="0.25">
      <c r="B77" s="174"/>
      <c r="C77" s="175"/>
      <c r="D77" s="175"/>
      <c r="E77" s="175"/>
      <c r="F77" s="122"/>
      <c r="G77" s="122"/>
      <c r="H77" s="122"/>
      <c r="I77" s="122"/>
      <c r="J77" s="173"/>
      <c r="L77" s="122"/>
    </row>
    <row r="78" spans="2:12" s="118" customFormat="1" ht="15" customHeight="1" x14ac:dyDescent="0.25">
      <c r="B78" s="174"/>
      <c r="C78" s="175"/>
      <c r="D78" s="175"/>
      <c r="E78" s="175"/>
      <c r="F78" s="122"/>
      <c r="G78" s="122"/>
      <c r="H78" s="122"/>
      <c r="I78" s="122"/>
      <c r="J78" s="173"/>
      <c r="L78" s="122"/>
    </row>
    <row r="79" spans="2:12" s="118" customFormat="1" ht="15" customHeight="1" x14ac:dyDescent="0.25">
      <c r="B79" s="174"/>
      <c r="C79" s="175"/>
      <c r="D79" s="175"/>
      <c r="E79" s="175"/>
      <c r="F79" s="122"/>
      <c r="G79" s="122"/>
      <c r="H79" s="122"/>
      <c r="I79" s="122"/>
      <c r="J79" s="173"/>
      <c r="L79" s="122"/>
    </row>
    <row r="80" spans="2:12" s="118" customFormat="1" ht="15" customHeight="1" x14ac:dyDescent="0.25">
      <c r="B80" s="174"/>
      <c r="C80" s="175"/>
      <c r="D80" s="175"/>
      <c r="E80" s="175"/>
      <c r="F80" s="122"/>
      <c r="G80" s="122"/>
      <c r="H80" s="122"/>
      <c r="I80" s="122"/>
      <c r="J80" s="173"/>
      <c r="L80" s="122"/>
    </row>
    <row r="81" spans="2:12" s="118" customFormat="1" ht="15" customHeight="1" x14ac:dyDescent="0.25">
      <c r="B81" s="174"/>
      <c r="C81" s="175"/>
      <c r="D81" s="175"/>
      <c r="E81" s="175"/>
      <c r="F81" s="122"/>
      <c r="G81" s="122"/>
      <c r="H81" s="122"/>
      <c r="I81" s="122"/>
      <c r="J81" s="173"/>
      <c r="L81" s="122"/>
    </row>
    <row r="82" spans="2:12" s="118" customFormat="1" ht="15" customHeight="1" x14ac:dyDescent="0.25">
      <c r="B82" s="174"/>
      <c r="C82" s="175"/>
      <c r="D82" s="175"/>
      <c r="E82" s="175"/>
      <c r="F82" s="122"/>
      <c r="G82" s="122"/>
      <c r="H82" s="122"/>
      <c r="I82" s="122"/>
      <c r="J82" s="173"/>
      <c r="L82" s="122"/>
    </row>
    <row r="83" spans="2:12" s="118" customFormat="1" ht="15" customHeight="1" x14ac:dyDescent="0.25">
      <c r="B83" s="174"/>
      <c r="C83" s="175"/>
      <c r="D83" s="175"/>
      <c r="E83" s="175"/>
      <c r="F83" s="122"/>
      <c r="G83" s="122"/>
      <c r="H83" s="122"/>
      <c r="I83" s="122"/>
      <c r="J83" s="173"/>
      <c r="L83" s="122"/>
    </row>
    <row r="84" spans="2:12" s="118" customFormat="1" ht="15" customHeight="1" x14ac:dyDescent="0.25">
      <c r="B84" s="174"/>
      <c r="C84" s="175"/>
      <c r="D84" s="175"/>
      <c r="E84" s="175"/>
      <c r="F84" s="122"/>
      <c r="G84" s="122"/>
      <c r="H84" s="122"/>
      <c r="I84" s="122"/>
      <c r="J84" s="173"/>
      <c r="L84" s="122"/>
    </row>
    <row r="85" spans="2:12" s="118" customFormat="1" ht="15" customHeight="1" x14ac:dyDescent="0.25">
      <c r="B85" s="174"/>
      <c r="C85" s="175"/>
      <c r="D85" s="175"/>
      <c r="E85" s="175"/>
      <c r="F85" s="122"/>
      <c r="G85" s="122"/>
      <c r="H85" s="122"/>
      <c r="I85" s="122"/>
      <c r="J85" s="173"/>
      <c r="L85" s="122"/>
    </row>
    <row r="86" spans="2:12" s="118" customFormat="1" ht="15" customHeight="1" x14ac:dyDescent="0.25">
      <c r="B86" s="174"/>
      <c r="C86" s="175"/>
      <c r="D86" s="175"/>
      <c r="E86" s="175"/>
      <c r="F86" s="122"/>
      <c r="G86" s="122"/>
      <c r="H86" s="122"/>
      <c r="I86" s="122"/>
      <c r="J86" s="173"/>
      <c r="L86" s="122"/>
    </row>
    <row r="87" spans="2:12" s="118" customFormat="1" ht="15" customHeight="1" x14ac:dyDescent="0.25">
      <c r="B87" s="174"/>
      <c r="C87" s="175"/>
      <c r="D87" s="175"/>
      <c r="E87" s="175"/>
      <c r="F87" s="122"/>
      <c r="G87" s="122"/>
      <c r="H87" s="122"/>
      <c r="I87" s="122"/>
      <c r="J87" s="173"/>
      <c r="L87" s="122"/>
    </row>
    <row r="88" spans="2:12" s="118" customFormat="1" ht="15" customHeight="1" x14ac:dyDescent="0.25">
      <c r="B88" s="174"/>
      <c r="C88" s="175"/>
      <c r="D88" s="175"/>
      <c r="E88" s="175"/>
      <c r="F88" s="122"/>
      <c r="G88" s="122"/>
      <c r="H88" s="122"/>
      <c r="I88" s="122"/>
      <c r="J88" s="173"/>
      <c r="L88" s="122"/>
    </row>
    <row r="89" spans="2:12" s="118" customFormat="1" ht="15" customHeight="1" x14ac:dyDescent="0.25">
      <c r="B89" s="174"/>
      <c r="C89" s="175"/>
      <c r="D89" s="175"/>
      <c r="E89" s="175"/>
      <c r="F89" s="122"/>
      <c r="G89" s="122"/>
      <c r="H89" s="122"/>
      <c r="I89" s="122"/>
      <c r="J89" s="173"/>
      <c r="L89" s="122"/>
    </row>
    <row r="90" spans="2:12" s="118" customFormat="1" ht="15" customHeight="1" x14ac:dyDescent="0.25">
      <c r="B90" s="174"/>
      <c r="C90" s="175"/>
      <c r="D90" s="175"/>
      <c r="E90" s="175"/>
      <c r="F90" s="122"/>
      <c r="G90" s="122"/>
      <c r="H90" s="122"/>
      <c r="I90" s="122"/>
      <c r="J90" s="173"/>
      <c r="L90" s="122"/>
    </row>
    <row r="91" spans="2:12" s="118" customFormat="1" ht="15" customHeight="1" x14ac:dyDescent="0.25">
      <c r="B91" s="174"/>
      <c r="C91" s="175"/>
      <c r="D91" s="175"/>
      <c r="E91" s="175"/>
      <c r="F91" s="122"/>
      <c r="G91" s="122"/>
      <c r="H91" s="122"/>
      <c r="I91" s="122"/>
      <c r="J91" s="173"/>
      <c r="L91" s="122"/>
    </row>
    <row r="92" spans="2:12" s="118" customFormat="1" ht="15" customHeight="1" x14ac:dyDescent="0.25">
      <c r="B92" s="174"/>
      <c r="C92" s="175"/>
      <c r="D92" s="175"/>
      <c r="E92" s="175"/>
      <c r="F92" s="122"/>
      <c r="G92" s="122"/>
      <c r="H92" s="122"/>
      <c r="I92" s="122"/>
      <c r="J92" s="173"/>
      <c r="L92" s="122"/>
    </row>
    <row r="93" spans="2:12" s="118" customFormat="1" ht="15" customHeight="1" x14ac:dyDescent="0.25">
      <c r="B93" s="174"/>
      <c r="C93" s="175"/>
      <c r="D93" s="175"/>
      <c r="E93" s="175"/>
      <c r="F93" s="122"/>
      <c r="G93" s="122"/>
      <c r="H93" s="122"/>
      <c r="I93" s="122"/>
      <c r="J93" s="173"/>
      <c r="L93" s="122"/>
    </row>
    <row r="94" spans="2:12" s="118" customFormat="1" ht="15" customHeight="1" x14ac:dyDescent="0.25">
      <c r="B94" s="174"/>
      <c r="C94" s="175"/>
      <c r="D94" s="175"/>
      <c r="E94" s="175"/>
      <c r="F94" s="122"/>
      <c r="G94" s="122"/>
      <c r="H94" s="122"/>
      <c r="I94" s="122"/>
      <c r="J94" s="173"/>
      <c r="L94" s="122"/>
    </row>
    <row r="95" spans="2:12" s="118" customFormat="1" ht="15" customHeight="1" x14ac:dyDescent="0.25">
      <c r="B95" s="174"/>
      <c r="C95" s="175"/>
      <c r="D95" s="175"/>
      <c r="E95" s="175"/>
      <c r="F95" s="122"/>
      <c r="G95" s="122"/>
      <c r="H95" s="122"/>
      <c r="I95" s="122"/>
      <c r="J95" s="173"/>
      <c r="L95" s="122"/>
    </row>
    <row r="96" spans="2:12" s="118" customFormat="1" ht="15" customHeight="1" x14ac:dyDescent="0.25">
      <c r="B96" s="174"/>
      <c r="C96" s="175"/>
      <c r="D96" s="175"/>
      <c r="E96" s="175"/>
      <c r="F96" s="122"/>
      <c r="G96" s="122"/>
      <c r="H96" s="122"/>
      <c r="I96" s="122"/>
      <c r="J96" s="173"/>
      <c r="L96" s="122"/>
    </row>
    <row r="97" spans="2:12" s="118" customFormat="1" ht="15" customHeight="1" x14ac:dyDescent="0.25">
      <c r="B97" s="174"/>
      <c r="C97" s="175"/>
      <c r="D97" s="175"/>
      <c r="E97" s="175"/>
      <c r="F97" s="122"/>
      <c r="G97" s="122"/>
      <c r="H97" s="122"/>
      <c r="I97" s="122"/>
      <c r="J97" s="173"/>
      <c r="L97" s="122"/>
    </row>
    <row r="98" spans="2:12" s="118" customFormat="1" ht="15" customHeight="1" x14ac:dyDescent="0.25">
      <c r="B98" s="174"/>
      <c r="C98" s="175"/>
      <c r="D98" s="175"/>
      <c r="E98" s="175"/>
      <c r="F98" s="122"/>
      <c r="G98" s="122"/>
      <c r="H98" s="122"/>
      <c r="I98" s="122"/>
      <c r="J98" s="173"/>
      <c r="L98" s="122"/>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7"/>
  <sheetViews>
    <sheetView zoomScale="80" zoomScaleNormal="80" workbookViewId="0">
      <selection activeCell="C6" sqref="C6:H6"/>
    </sheetView>
  </sheetViews>
  <sheetFormatPr baseColWidth="10" defaultColWidth="11.42578125" defaultRowHeight="0" customHeight="1" zeroHeight="1" x14ac:dyDescent="0.25"/>
  <cols>
    <col min="1" max="1" width="2.42578125" style="118" customWidth="1"/>
    <col min="2" max="2" width="4.42578125" style="174" customWidth="1"/>
    <col min="3" max="3" width="30" style="175" customWidth="1"/>
    <col min="4" max="4" width="21.85546875" style="175" customWidth="1"/>
    <col min="5" max="5" width="30" style="175" customWidth="1"/>
    <col min="6" max="6" width="23.42578125" style="122" customWidth="1"/>
    <col min="7" max="8" width="13.42578125" style="122" customWidth="1"/>
    <col min="9" max="9" width="13.7109375" style="122" customWidth="1"/>
    <col min="10" max="10" width="57.140625" style="173" customWidth="1"/>
    <col min="11" max="11" width="4.28515625" style="118" customWidth="1"/>
    <col min="12" max="16384" width="11.42578125" style="122"/>
  </cols>
  <sheetData>
    <row r="1" spans="1:11" ht="18.75" customHeight="1" x14ac:dyDescent="0.25">
      <c r="B1" s="119"/>
      <c r="C1" s="119"/>
      <c r="D1" s="120"/>
      <c r="E1" s="120"/>
      <c r="F1" s="120"/>
      <c r="G1" s="120"/>
      <c r="H1" s="120"/>
      <c r="I1" s="120"/>
      <c r="J1" s="121"/>
    </row>
    <row r="2" spans="1:11" ht="18.75" customHeight="1" x14ac:dyDescent="0.25">
      <c r="B2" s="123"/>
      <c r="C2" s="811" t="s">
        <v>776</v>
      </c>
      <c r="D2" s="811"/>
      <c r="E2" s="811"/>
      <c r="F2" s="811"/>
      <c r="G2" s="811"/>
      <c r="H2" s="811"/>
      <c r="I2" s="811"/>
      <c r="J2" s="811"/>
    </row>
    <row r="3" spans="1:11" ht="18.75" customHeight="1" x14ac:dyDescent="0.25">
      <c r="B3" s="123"/>
      <c r="C3" s="124"/>
      <c r="D3" s="125"/>
      <c r="E3" s="124"/>
      <c r="F3" s="126"/>
      <c r="G3" s="127"/>
      <c r="H3" s="128"/>
      <c r="I3" s="128"/>
      <c r="J3" s="129"/>
    </row>
    <row r="4" spans="1:11" ht="75.75" customHeight="1" x14ac:dyDescent="0.25">
      <c r="B4" s="123"/>
      <c r="C4" s="130" t="s">
        <v>478</v>
      </c>
      <c r="D4" s="863" t="s">
        <v>761</v>
      </c>
      <c r="E4" s="863"/>
      <c r="F4" s="863"/>
      <c r="G4" s="863"/>
      <c r="H4" s="863"/>
      <c r="I4" s="863"/>
      <c r="J4" s="863"/>
    </row>
    <row r="5" spans="1:11" ht="8.25" customHeight="1" x14ac:dyDescent="0.25">
      <c r="B5" s="123"/>
      <c r="C5" s="131"/>
      <c r="D5" s="132"/>
      <c r="E5" s="124"/>
      <c r="F5" s="133"/>
      <c r="G5" s="133"/>
      <c r="H5" s="133"/>
      <c r="I5" s="133"/>
      <c r="J5" s="129"/>
    </row>
    <row r="6" spans="1:11" ht="18" customHeight="1" x14ac:dyDescent="0.25">
      <c r="B6" s="123"/>
      <c r="C6" s="130" t="s">
        <v>480</v>
      </c>
      <c r="D6" s="812">
        <v>1</v>
      </c>
      <c r="E6" s="812"/>
      <c r="F6" s="812"/>
      <c r="G6" s="812"/>
      <c r="H6" s="812"/>
      <c r="I6" s="305"/>
      <c r="J6" s="305"/>
    </row>
    <row r="7" spans="1:11" ht="8.25" customHeight="1" x14ac:dyDescent="0.25">
      <c r="B7" s="123"/>
      <c r="C7" s="135"/>
      <c r="D7" s="135"/>
      <c r="E7" s="135"/>
      <c r="F7" s="136"/>
      <c r="G7" s="136"/>
      <c r="H7" s="136"/>
      <c r="I7" s="136"/>
      <c r="J7" s="129"/>
    </row>
    <row r="8" spans="1:11" ht="18" customHeight="1" x14ac:dyDescent="0.25">
      <c r="B8" s="123"/>
      <c r="C8" s="130" t="s">
        <v>520</v>
      </c>
      <c r="D8" s="813">
        <v>44225</v>
      </c>
      <c r="E8" s="812"/>
      <c r="F8" s="812"/>
      <c r="G8" s="812"/>
      <c r="H8" s="812"/>
      <c r="I8" s="305"/>
      <c r="J8" s="305"/>
    </row>
    <row r="9" spans="1:11" ht="8.25" customHeight="1" thickBot="1" x14ac:dyDescent="0.3">
      <c r="B9" s="123"/>
      <c r="C9" s="137"/>
      <c r="D9" s="137"/>
      <c r="E9" s="137"/>
      <c r="F9" s="138"/>
      <c r="G9" s="138"/>
      <c r="H9" s="138"/>
      <c r="I9" s="138"/>
      <c r="J9" s="139"/>
    </row>
    <row r="10" spans="1:11" ht="18" customHeight="1" x14ac:dyDescent="0.25">
      <c r="B10" s="808" t="s">
        <v>357</v>
      </c>
      <c r="C10" s="831"/>
      <c r="D10" s="831"/>
      <c r="E10" s="831"/>
      <c r="F10" s="831"/>
      <c r="G10" s="831"/>
      <c r="H10" s="831"/>
      <c r="I10" s="831"/>
      <c r="J10" s="809"/>
    </row>
    <row r="11" spans="1:11" ht="18" customHeight="1" x14ac:dyDescent="0.25">
      <c r="B11" s="828" t="s">
        <v>358</v>
      </c>
      <c r="C11" s="818" t="s">
        <v>360</v>
      </c>
      <c r="D11" s="818" t="s">
        <v>361</v>
      </c>
      <c r="E11" s="818" t="s">
        <v>362</v>
      </c>
      <c r="F11" s="818" t="s">
        <v>363</v>
      </c>
      <c r="G11" s="818" t="s">
        <v>364</v>
      </c>
      <c r="H11" s="818"/>
      <c r="I11" s="303" t="s">
        <v>365</v>
      </c>
      <c r="J11" s="819" t="s">
        <v>29</v>
      </c>
    </row>
    <row r="12" spans="1:11" s="141" customFormat="1" ht="18" customHeight="1" thickBot="1" x14ac:dyDescent="0.3">
      <c r="A12" s="140"/>
      <c r="B12" s="829"/>
      <c r="C12" s="830"/>
      <c r="D12" s="830"/>
      <c r="E12" s="830"/>
      <c r="F12" s="830"/>
      <c r="G12" s="304" t="s">
        <v>366</v>
      </c>
      <c r="H12" s="304" t="s">
        <v>367</v>
      </c>
      <c r="I12" s="354">
        <f>SUM(I13:I14)</f>
        <v>1</v>
      </c>
      <c r="J12" s="820"/>
      <c r="K12" s="140"/>
    </row>
    <row r="13" spans="1:11" s="141" customFormat="1" ht="45" customHeight="1" x14ac:dyDescent="0.25">
      <c r="A13" s="140"/>
      <c r="B13" s="142">
        <v>1</v>
      </c>
      <c r="C13" s="302" t="s">
        <v>777</v>
      </c>
      <c r="D13" s="176" t="s">
        <v>521</v>
      </c>
      <c r="E13" s="143" t="s">
        <v>778</v>
      </c>
      <c r="F13" s="144">
        <v>1</v>
      </c>
      <c r="G13" s="145">
        <v>44256</v>
      </c>
      <c r="H13" s="145">
        <v>44560</v>
      </c>
      <c r="I13" s="226">
        <v>0.7</v>
      </c>
      <c r="J13" s="177"/>
      <c r="K13" s="140"/>
    </row>
    <row r="14" spans="1:11" s="141" customFormat="1" ht="45" customHeight="1" thickBot="1" x14ac:dyDescent="0.3">
      <c r="A14" s="140"/>
      <c r="B14" s="153">
        <v>2</v>
      </c>
      <c r="C14" s="361" t="s">
        <v>779</v>
      </c>
      <c r="D14" s="155" t="s">
        <v>521</v>
      </c>
      <c r="E14" s="156" t="s">
        <v>780</v>
      </c>
      <c r="F14" s="158">
        <v>1</v>
      </c>
      <c r="G14" s="157">
        <v>44317</v>
      </c>
      <c r="H14" s="157">
        <v>44469</v>
      </c>
      <c r="I14" s="356">
        <v>0.3</v>
      </c>
      <c r="J14" s="159"/>
      <c r="K14" s="140"/>
    </row>
    <row r="15" spans="1:11" s="141" customFormat="1" ht="33" customHeight="1" thickBot="1" x14ac:dyDescent="0.3">
      <c r="A15" s="140"/>
      <c r="B15" s="821" t="s">
        <v>487</v>
      </c>
      <c r="C15" s="821"/>
      <c r="D15" s="821"/>
      <c r="E15" s="821"/>
      <c r="F15" s="821"/>
      <c r="G15" s="821"/>
      <c r="H15" s="821"/>
      <c r="I15" s="821"/>
      <c r="J15" s="821"/>
      <c r="K15" s="140"/>
    </row>
    <row r="16" spans="1:11" s="141" customFormat="1" ht="21.75" customHeight="1" x14ac:dyDescent="0.25">
      <c r="A16" s="140"/>
      <c r="B16" s="160"/>
      <c r="C16" s="822" t="s">
        <v>488</v>
      </c>
      <c r="D16" s="823"/>
      <c r="E16" s="823"/>
      <c r="F16" s="824"/>
      <c r="G16" s="161"/>
      <c r="H16" s="161"/>
      <c r="I16" s="161"/>
      <c r="J16" s="162"/>
      <c r="K16" s="140"/>
    </row>
    <row r="17" spans="1:11" s="141" customFormat="1" ht="21.75" customHeight="1" thickBot="1" x14ac:dyDescent="0.3">
      <c r="A17" s="140"/>
      <c r="B17" s="160"/>
      <c r="C17" s="357" t="s">
        <v>355</v>
      </c>
      <c r="D17" s="864" t="s">
        <v>489</v>
      </c>
      <c r="E17" s="864"/>
      <c r="F17" s="358" t="s">
        <v>490</v>
      </c>
      <c r="G17" s="161"/>
      <c r="H17" s="161"/>
      <c r="I17" s="161"/>
      <c r="J17" s="162"/>
      <c r="K17" s="140"/>
    </row>
    <row r="18" spans="1:11" s="141" customFormat="1" ht="28.5" customHeight="1" x14ac:dyDescent="0.2">
      <c r="A18" s="140"/>
      <c r="B18" s="160"/>
      <c r="C18" s="359">
        <v>1</v>
      </c>
      <c r="D18" s="865" t="s">
        <v>491</v>
      </c>
      <c r="E18" s="866"/>
      <c r="F18" s="360">
        <v>44225</v>
      </c>
      <c r="G18" s="161"/>
      <c r="H18" s="161"/>
      <c r="I18" s="161"/>
      <c r="J18" s="162"/>
      <c r="K18" s="140"/>
    </row>
    <row r="19" spans="1:11" s="141" customFormat="1" ht="28.5" customHeight="1" thickBot="1" x14ac:dyDescent="0.3">
      <c r="A19" s="140"/>
      <c r="B19" s="160"/>
      <c r="C19" s="165"/>
      <c r="D19" s="817"/>
      <c r="E19" s="817"/>
      <c r="F19" s="166"/>
      <c r="G19" s="161"/>
      <c r="H19" s="161"/>
      <c r="I19" s="161"/>
      <c r="J19" s="162"/>
      <c r="K19" s="140"/>
    </row>
    <row r="20" spans="1:11" s="141" customFormat="1" ht="33" customHeight="1" x14ac:dyDescent="0.25">
      <c r="A20" s="140"/>
      <c r="B20" s="160"/>
      <c r="C20" s="167"/>
      <c r="D20" s="167"/>
      <c r="E20" s="160"/>
      <c r="F20" s="160"/>
      <c r="G20" s="161"/>
      <c r="H20" s="161"/>
      <c r="I20" s="161"/>
      <c r="J20" s="162"/>
      <c r="K20" s="140"/>
    </row>
    <row r="21" spans="1:11" s="141" customFormat="1" ht="33" customHeight="1" x14ac:dyDescent="0.25">
      <c r="A21" s="140"/>
      <c r="B21" s="160"/>
      <c r="C21" s="167"/>
      <c r="D21" s="167"/>
      <c r="E21" s="160"/>
      <c r="F21" s="160"/>
      <c r="G21" s="161"/>
      <c r="H21" s="161"/>
      <c r="I21" s="161"/>
      <c r="J21" s="162"/>
      <c r="K21" s="140"/>
    </row>
    <row r="22" spans="1:11" s="141" customFormat="1" ht="33" customHeight="1" x14ac:dyDescent="0.25">
      <c r="A22" s="140"/>
      <c r="B22" s="160"/>
      <c r="C22" s="167"/>
      <c r="D22" s="167"/>
      <c r="E22" s="160"/>
      <c r="F22" s="160"/>
      <c r="G22" s="161"/>
      <c r="H22" s="161"/>
      <c r="I22" s="161"/>
      <c r="J22" s="162"/>
      <c r="K22" s="140"/>
    </row>
    <row r="23" spans="1:11" s="141" customFormat="1" ht="33" customHeight="1" x14ac:dyDescent="0.25">
      <c r="A23" s="140"/>
      <c r="B23" s="160"/>
      <c r="C23" s="167"/>
      <c r="D23" s="167"/>
      <c r="E23" s="160"/>
      <c r="F23" s="160"/>
      <c r="G23" s="161"/>
      <c r="H23" s="161"/>
      <c r="I23" s="161"/>
      <c r="J23" s="162"/>
      <c r="K23" s="140"/>
    </row>
    <row r="24" spans="1:11" s="141" customFormat="1" ht="6.75" customHeight="1" x14ac:dyDescent="0.25">
      <c r="A24" s="140"/>
      <c r="B24" s="168"/>
      <c r="C24" s="162"/>
      <c r="D24" s="162"/>
      <c r="E24" s="160"/>
      <c r="F24" s="160"/>
      <c r="G24" s="168"/>
      <c r="H24" s="168"/>
      <c r="I24" s="168"/>
      <c r="J24" s="162"/>
      <c r="K24" s="140"/>
    </row>
    <row r="25" spans="1:11" ht="42.75" customHeight="1" x14ac:dyDescent="0.25">
      <c r="B25" s="169"/>
      <c r="C25" s="170"/>
      <c r="D25" s="170"/>
      <c r="E25" s="171"/>
      <c r="F25" s="172"/>
      <c r="G25" s="141"/>
      <c r="H25" s="141"/>
      <c r="I25" s="141"/>
    </row>
    <row r="26" spans="1:11" ht="16.5" customHeight="1" x14ac:dyDescent="0.25">
      <c r="C26" s="122"/>
      <c r="D26" s="122"/>
      <c r="E26" s="122"/>
    </row>
    <row r="27" spans="1:11" ht="16.5" customHeight="1" x14ac:dyDescent="0.25"/>
    <row r="28" spans="1:11" ht="16.5" customHeight="1" x14ac:dyDescent="0.25"/>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62" spans="2:12" s="118" customFormat="1" ht="0" hidden="1" customHeight="1" x14ac:dyDescent="0.25">
      <c r="B62" s="174"/>
      <c r="C62" s="175"/>
      <c r="D62" s="175"/>
      <c r="E62" s="175"/>
      <c r="F62" s="122"/>
      <c r="G62" s="122"/>
      <c r="H62" s="122"/>
      <c r="I62" s="122"/>
      <c r="J62" s="173"/>
      <c r="L62" s="122"/>
    </row>
    <row r="63" spans="2:12" s="118" customFormat="1" ht="0" hidden="1" customHeight="1" x14ac:dyDescent="0.25">
      <c r="B63" s="174"/>
      <c r="C63" s="175"/>
      <c r="D63" s="175"/>
      <c r="E63" s="175"/>
      <c r="F63" s="122"/>
      <c r="G63" s="122"/>
      <c r="H63" s="122"/>
      <c r="I63" s="122"/>
      <c r="J63" s="173"/>
      <c r="L63" s="122"/>
    </row>
    <row r="64" spans="2:12" s="118" customFormat="1" ht="0" hidden="1" customHeight="1" x14ac:dyDescent="0.25">
      <c r="B64" s="174"/>
      <c r="C64" s="175"/>
      <c r="D64" s="175"/>
      <c r="E64" s="175"/>
      <c r="F64" s="122"/>
      <c r="G64" s="122"/>
      <c r="H64" s="122"/>
      <c r="I64" s="122"/>
      <c r="J64" s="173"/>
      <c r="L64" s="122"/>
    </row>
    <row r="65" spans="2:12" s="118" customFormat="1" ht="0" hidden="1" customHeight="1" x14ac:dyDescent="0.25">
      <c r="B65" s="174"/>
      <c r="C65" s="175"/>
      <c r="D65" s="175"/>
      <c r="E65" s="175"/>
      <c r="F65" s="122"/>
      <c r="G65" s="122"/>
      <c r="H65" s="122"/>
      <c r="I65" s="122"/>
      <c r="J65" s="173"/>
      <c r="L65" s="122"/>
    </row>
    <row r="66" spans="2:12" s="118" customFormat="1" ht="15" customHeight="1" x14ac:dyDescent="0.25">
      <c r="B66" s="174"/>
      <c r="C66" s="175"/>
      <c r="D66" s="175"/>
      <c r="E66" s="175"/>
      <c r="F66" s="122"/>
      <c r="G66" s="122"/>
      <c r="H66" s="122"/>
      <c r="I66" s="122"/>
      <c r="J66" s="173"/>
      <c r="L66" s="122"/>
    </row>
    <row r="67" spans="2:12" s="118" customFormat="1" ht="15" customHeight="1" x14ac:dyDescent="0.25">
      <c r="B67" s="174"/>
      <c r="C67" s="175"/>
      <c r="D67" s="175"/>
      <c r="E67" s="175"/>
      <c r="F67" s="122"/>
      <c r="G67" s="122"/>
      <c r="H67" s="122"/>
      <c r="I67" s="122"/>
      <c r="J67" s="173"/>
      <c r="L67" s="122"/>
    </row>
    <row r="68" spans="2:12" s="118" customFormat="1" ht="15" customHeight="1" x14ac:dyDescent="0.25">
      <c r="B68" s="174"/>
      <c r="C68" s="175"/>
      <c r="D68" s="175"/>
      <c r="E68" s="175"/>
      <c r="F68" s="122"/>
      <c r="G68" s="122"/>
      <c r="H68" s="122"/>
      <c r="I68" s="122"/>
      <c r="J68" s="173"/>
      <c r="L68" s="122"/>
    </row>
    <row r="69" spans="2:12" s="118" customFormat="1" ht="15" customHeight="1" x14ac:dyDescent="0.25">
      <c r="B69" s="174"/>
      <c r="C69" s="175"/>
      <c r="D69" s="175"/>
      <c r="E69" s="175"/>
      <c r="F69" s="122"/>
      <c r="G69" s="122"/>
      <c r="H69" s="122"/>
      <c r="I69" s="122"/>
      <c r="J69" s="173"/>
      <c r="L69" s="122"/>
    </row>
    <row r="70" spans="2:12" s="118" customFormat="1" ht="15" customHeight="1" x14ac:dyDescent="0.25">
      <c r="B70" s="174"/>
      <c r="C70" s="175"/>
      <c r="D70" s="175"/>
      <c r="E70" s="175"/>
      <c r="F70" s="122"/>
      <c r="G70" s="122"/>
      <c r="H70" s="122"/>
      <c r="I70" s="122"/>
      <c r="J70" s="173"/>
      <c r="L70" s="122"/>
    </row>
    <row r="71" spans="2:12" s="118" customFormat="1" ht="15" customHeight="1" x14ac:dyDescent="0.25">
      <c r="B71" s="174"/>
      <c r="C71" s="175"/>
      <c r="D71" s="175"/>
      <c r="E71" s="175"/>
      <c r="F71" s="122"/>
      <c r="G71" s="122"/>
      <c r="H71" s="122"/>
      <c r="I71" s="122"/>
      <c r="J71" s="173"/>
      <c r="L71" s="122"/>
    </row>
    <row r="72" spans="2:12" s="118" customFormat="1" ht="15" customHeight="1" x14ac:dyDescent="0.25">
      <c r="B72" s="174"/>
      <c r="C72" s="175"/>
      <c r="D72" s="175"/>
      <c r="E72" s="175"/>
      <c r="F72" s="122"/>
      <c r="G72" s="122"/>
      <c r="H72" s="122"/>
      <c r="I72" s="122"/>
      <c r="J72" s="173"/>
      <c r="L72" s="122"/>
    </row>
    <row r="73" spans="2:12" s="118" customFormat="1" ht="15" customHeight="1" x14ac:dyDescent="0.25">
      <c r="B73" s="174"/>
      <c r="C73" s="175"/>
      <c r="D73" s="175"/>
      <c r="E73" s="175"/>
      <c r="F73" s="122"/>
      <c r="G73" s="122"/>
      <c r="H73" s="122"/>
      <c r="I73" s="122"/>
      <c r="J73" s="173"/>
      <c r="L73" s="122"/>
    </row>
    <row r="74" spans="2:12" s="118" customFormat="1" ht="15" customHeight="1" x14ac:dyDescent="0.25">
      <c r="B74" s="174"/>
      <c r="C74" s="175"/>
      <c r="D74" s="175"/>
      <c r="E74" s="175"/>
      <c r="F74" s="122"/>
      <c r="G74" s="122"/>
      <c r="H74" s="122"/>
      <c r="I74" s="122"/>
      <c r="J74" s="173"/>
      <c r="L74" s="122"/>
    </row>
    <row r="75" spans="2:12" s="118" customFormat="1" ht="15" customHeight="1" x14ac:dyDescent="0.25">
      <c r="B75" s="174"/>
      <c r="C75" s="175"/>
      <c r="D75" s="175"/>
      <c r="E75" s="175"/>
      <c r="F75" s="122"/>
      <c r="G75" s="122"/>
      <c r="H75" s="122"/>
      <c r="I75" s="122"/>
      <c r="J75" s="173"/>
      <c r="L75" s="122"/>
    </row>
    <row r="76" spans="2:12" s="118" customFormat="1" ht="15" customHeight="1" x14ac:dyDescent="0.25">
      <c r="B76" s="174"/>
      <c r="C76" s="175"/>
      <c r="D76" s="175"/>
      <c r="E76" s="175"/>
      <c r="F76" s="122"/>
      <c r="G76" s="122"/>
      <c r="H76" s="122"/>
      <c r="I76" s="122"/>
      <c r="J76" s="173"/>
      <c r="L76" s="122"/>
    </row>
    <row r="77" spans="2:12" s="118" customFormat="1" ht="15" customHeight="1" x14ac:dyDescent="0.25">
      <c r="B77" s="174"/>
      <c r="C77" s="175"/>
      <c r="D77" s="175"/>
      <c r="E77" s="175"/>
      <c r="F77" s="122"/>
      <c r="G77" s="122"/>
      <c r="H77" s="122"/>
      <c r="I77" s="122"/>
      <c r="J77" s="173"/>
      <c r="L77" s="122"/>
    </row>
    <row r="78" spans="2:12" s="118" customFormat="1" ht="15" customHeight="1" x14ac:dyDescent="0.25">
      <c r="B78" s="174"/>
      <c r="C78" s="175"/>
      <c r="D78" s="175"/>
      <c r="E78" s="175"/>
      <c r="F78" s="122"/>
      <c r="G78" s="122"/>
      <c r="H78" s="122"/>
      <c r="I78" s="122"/>
      <c r="J78" s="173"/>
      <c r="L78" s="122"/>
    </row>
    <row r="79" spans="2:12" s="118" customFormat="1" ht="15" customHeight="1" x14ac:dyDescent="0.25">
      <c r="B79" s="174"/>
      <c r="C79" s="175"/>
      <c r="D79" s="175"/>
      <c r="E79" s="175"/>
      <c r="F79" s="122"/>
      <c r="G79" s="122"/>
      <c r="H79" s="122"/>
      <c r="I79" s="122"/>
      <c r="J79" s="173"/>
      <c r="L79" s="122"/>
    </row>
    <row r="80" spans="2:12" s="118" customFormat="1" ht="15" customHeight="1" x14ac:dyDescent="0.25">
      <c r="B80" s="174"/>
      <c r="C80" s="175"/>
      <c r="D80" s="175"/>
      <c r="E80" s="175"/>
      <c r="F80" s="122"/>
      <c r="G80" s="122"/>
      <c r="H80" s="122"/>
      <c r="I80" s="122"/>
      <c r="J80" s="173"/>
      <c r="L80" s="122"/>
    </row>
    <row r="81" spans="2:12" s="118" customFormat="1" ht="15" customHeight="1" x14ac:dyDescent="0.25">
      <c r="B81" s="174"/>
      <c r="C81" s="175"/>
      <c r="D81" s="175"/>
      <c r="E81" s="175"/>
      <c r="F81" s="122"/>
      <c r="G81" s="122"/>
      <c r="H81" s="122"/>
      <c r="I81" s="122"/>
      <c r="J81" s="173"/>
      <c r="L81" s="122"/>
    </row>
    <row r="82" spans="2:12" s="118" customFormat="1" ht="15" customHeight="1" x14ac:dyDescent="0.25">
      <c r="B82" s="174"/>
      <c r="C82" s="175"/>
      <c r="D82" s="175"/>
      <c r="E82" s="175"/>
      <c r="F82" s="122"/>
      <c r="G82" s="122"/>
      <c r="H82" s="122"/>
      <c r="I82" s="122"/>
      <c r="J82" s="173"/>
      <c r="L82" s="122"/>
    </row>
    <row r="83" spans="2:12" s="118" customFormat="1" ht="15" customHeight="1" x14ac:dyDescent="0.25">
      <c r="B83" s="174"/>
      <c r="C83" s="175"/>
      <c r="D83" s="175"/>
      <c r="E83" s="175"/>
      <c r="F83" s="122"/>
      <c r="G83" s="122"/>
      <c r="H83" s="122"/>
      <c r="I83" s="122"/>
      <c r="J83" s="173"/>
      <c r="L83" s="122"/>
    </row>
    <row r="84" spans="2:12" s="118" customFormat="1" ht="15" customHeight="1" x14ac:dyDescent="0.25">
      <c r="B84" s="174"/>
      <c r="C84" s="175"/>
      <c r="D84" s="175"/>
      <c r="E84" s="175"/>
      <c r="F84" s="122"/>
      <c r="G84" s="122"/>
      <c r="H84" s="122"/>
      <c r="I84" s="122"/>
      <c r="J84" s="173"/>
      <c r="L84" s="122"/>
    </row>
    <row r="85" spans="2:12" s="118" customFormat="1" ht="15" customHeight="1" x14ac:dyDescent="0.25">
      <c r="B85" s="174"/>
      <c r="C85" s="175"/>
      <c r="D85" s="175"/>
      <c r="E85" s="175"/>
      <c r="F85" s="122"/>
      <c r="G85" s="122"/>
      <c r="H85" s="122"/>
      <c r="I85" s="122"/>
      <c r="J85" s="173"/>
      <c r="L85" s="122"/>
    </row>
    <row r="86" spans="2:12" s="118" customFormat="1" ht="15" customHeight="1" x14ac:dyDescent="0.25">
      <c r="B86" s="174"/>
      <c r="C86" s="175"/>
      <c r="D86" s="175"/>
      <c r="E86" s="175"/>
      <c r="F86" s="122"/>
      <c r="G86" s="122"/>
      <c r="H86" s="122"/>
      <c r="I86" s="122"/>
      <c r="J86" s="173"/>
      <c r="L86" s="122"/>
    </row>
    <row r="87" spans="2:12" s="118" customFormat="1" ht="15" customHeight="1" x14ac:dyDescent="0.25">
      <c r="B87" s="174"/>
      <c r="C87" s="175"/>
      <c r="D87" s="175"/>
      <c r="E87" s="175"/>
      <c r="F87" s="122"/>
      <c r="G87" s="122"/>
      <c r="H87" s="122"/>
      <c r="I87" s="122"/>
      <c r="J87" s="173"/>
      <c r="L87" s="122"/>
    </row>
    <row r="88" spans="2:12" s="118" customFormat="1" ht="15" customHeight="1" x14ac:dyDescent="0.25">
      <c r="B88" s="174"/>
      <c r="C88" s="175"/>
      <c r="D88" s="175"/>
      <c r="E88" s="175"/>
      <c r="F88" s="122"/>
      <c r="G88" s="122"/>
      <c r="H88" s="122"/>
      <c r="I88" s="122"/>
      <c r="J88" s="173"/>
      <c r="L88" s="122"/>
    </row>
    <row r="89" spans="2:12" s="118" customFormat="1" ht="15" customHeight="1" x14ac:dyDescent="0.25">
      <c r="B89" s="174"/>
      <c r="C89" s="175"/>
      <c r="D89" s="175"/>
      <c r="E89" s="175"/>
      <c r="F89" s="122"/>
      <c r="G89" s="122"/>
      <c r="H89" s="122"/>
      <c r="I89" s="122"/>
      <c r="J89" s="173"/>
      <c r="L89" s="122"/>
    </row>
    <row r="90" spans="2:12" s="118" customFormat="1" ht="15" customHeight="1" x14ac:dyDescent="0.25">
      <c r="B90" s="174"/>
      <c r="C90" s="175"/>
      <c r="D90" s="175"/>
      <c r="E90" s="175"/>
      <c r="F90" s="122"/>
      <c r="G90" s="122"/>
      <c r="H90" s="122"/>
      <c r="I90" s="122"/>
      <c r="J90" s="173"/>
      <c r="L90" s="122"/>
    </row>
    <row r="91" spans="2:12" s="118" customFormat="1" ht="15" customHeight="1" x14ac:dyDescent="0.25">
      <c r="B91" s="174"/>
      <c r="C91" s="175"/>
      <c r="D91" s="175"/>
      <c r="E91" s="175"/>
      <c r="F91" s="122"/>
      <c r="G91" s="122"/>
      <c r="H91" s="122"/>
      <c r="I91" s="122"/>
      <c r="J91" s="173"/>
      <c r="L91" s="122"/>
    </row>
    <row r="92" spans="2:12" s="118" customFormat="1" ht="15" customHeight="1" x14ac:dyDescent="0.25">
      <c r="B92" s="174"/>
      <c r="C92" s="175"/>
      <c r="D92" s="175"/>
      <c r="E92" s="175"/>
      <c r="F92" s="122"/>
      <c r="G92" s="122"/>
      <c r="H92" s="122"/>
      <c r="I92" s="122"/>
      <c r="J92" s="173"/>
      <c r="L92" s="122"/>
    </row>
    <row r="93" spans="2:12" s="118" customFormat="1" ht="15" customHeight="1" x14ac:dyDescent="0.25">
      <c r="B93" s="174"/>
      <c r="C93" s="175"/>
      <c r="D93" s="175"/>
      <c r="E93" s="175"/>
      <c r="F93" s="122"/>
      <c r="G93" s="122"/>
      <c r="H93" s="122"/>
      <c r="I93" s="122"/>
      <c r="J93" s="173"/>
      <c r="L93" s="122"/>
    </row>
    <row r="94" spans="2:12" s="118" customFormat="1" ht="15" customHeight="1" x14ac:dyDescent="0.25">
      <c r="B94" s="174"/>
      <c r="C94" s="175"/>
      <c r="D94" s="175"/>
      <c r="E94" s="175"/>
      <c r="F94" s="122"/>
      <c r="G94" s="122"/>
      <c r="H94" s="122"/>
      <c r="I94" s="122"/>
      <c r="J94" s="173"/>
      <c r="L94" s="122"/>
    </row>
    <row r="95" spans="2:12" s="118" customFormat="1" ht="15" customHeight="1" x14ac:dyDescent="0.25">
      <c r="B95" s="174"/>
      <c r="C95" s="175"/>
      <c r="D95" s="175"/>
      <c r="E95" s="175"/>
      <c r="F95" s="122"/>
      <c r="G95" s="122"/>
      <c r="H95" s="122"/>
      <c r="I95" s="122"/>
      <c r="J95" s="173"/>
      <c r="L95" s="122"/>
    </row>
    <row r="96" spans="2:12" s="118" customFormat="1" ht="15" customHeight="1" x14ac:dyDescent="0.25">
      <c r="B96" s="174"/>
      <c r="C96" s="175"/>
      <c r="D96" s="175"/>
      <c r="E96" s="175"/>
      <c r="F96" s="122"/>
      <c r="G96" s="122"/>
      <c r="H96" s="122"/>
      <c r="I96" s="122"/>
      <c r="J96" s="173"/>
      <c r="L96" s="122"/>
    </row>
    <row r="97" spans="2:12" s="118" customFormat="1" ht="15" customHeight="1" x14ac:dyDescent="0.25">
      <c r="B97" s="174"/>
      <c r="C97" s="175"/>
      <c r="D97" s="175"/>
      <c r="E97" s="175"/>
      <c r="F97" s="122"/>
      <c r="G97" s="122"/>
      <c r="H97" s="122"/>
      <c r="I97" s="122"/>
      <c r="J97" s="173"/>
      <c r="L97" s="122"/>
    </row>
  </sheetData>
  <mergeCells count="17">
    <mergeCell ref="D19:E19"/>
    <mergeCell ref="G11:H11"/>
    <mergeCell ref="J11:J12"/>
    <mergeCell ref="B15:J15"/>
    <mergeCell ref="C16:F16"/>
    <mergeCell ref="D17:E17"/>
    <mergeCell ref="D18:E18"/>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C23"/>
  <sheetViews>
    <sheetView workbookViewId="0">
      <pane ySplit="6" topLeftCell="A7" activePane="bottomLeft" state="frozen"/>
      <selection activeCell="C7" sqref="C7"/>
      <selection pane="bottomLeft" activeCell="C7" sqref="C7"/>
    </sheetView>
  </sheetViews>
  <sheetFormatPr baseColWidth="10" defaultRowHeight="15" x14ac:dyDescent="0.25"/>
  <cols>
    <col min="1" max="1" width="8.28515625" customWidth="1"/>
    <col min="2" max="2" width="51.42578125" customWidth="1"/>
    <col min="3" max="3" width="104.7109375" customWidth="1"/>
  </cols>
  <sheetData>
    <row r="2" spans="1:3" x14ac:dyDescent="0.25">
      <c r="A2" s="275" t="s">
        <v>632</v>
      </c>
      <c r="B2" t="s">
        <v>633</v>
      </c>
    </row>
    <row r="3" spans="1:3" x14ac:dyDescent="0.25">
      <c r="B3" s="259" t="s">
        <v>634</v>
      </c>
    </row>
    <row r="4" spans="1:3" x14ac:dyDescent="0.25">
      <c r="B4" s="259" t="s">
        <v>635</v>
      </c>
    </row>
    <row r="5" spans="1:3" ht="15.75" thickBot="1" x14ac:dyDescent="0.3"/>
    <row r="6" spans="1:3" ht="21.75" customHeight="1" thickBot="1" x14ac:dyDescent="0.3">
      <c r="B6" s="276" t="s">
        <v>636</v>
      </c>
      <c r="C6" s="277" t="s">
        <v>637</v>
      </c>
    </row>
    <row r="7" spans="1:3" ht="60" x14ac:dyDescent="0.25">
      <c r="A7" s="278"/>
      <c r="B7" s="279" t="s">
        <v>638</v>
      </c>
      <c r="C7" s="280" t="s">
        <v>639</v>
      </c>
    </row>
    <row r="8" spans="1:3" ht="60" x14ac:dyDescent="0.25">
      <c r="A8" s="278"/>
      <c r="B8" s="281" t="s">
        <v>640</v>
      </c>
      <c r="C8" s="282" t="s">
        <v>641</v>
      </c>
    </row>
    <row r="9" spans="1:3" ht="60" x14ac:dyDescent="0.25">
      <c r="A9" s="278"/>
      <c r="B9" s="281" t="s">
        <v>642</v>
      </c>
      <c r="C9" s="282" t="s">
        <v>643</v>
      </c>
    </row>
    <row r="10" spans="1:3" ht="45" x14ac:dyDescent="0.25">
      <c r="A10" s="278"/>
      <c r="B10" s="281" t="s">
        <v>644</v>
      </c>
      <c r="C10" s="282" t="s">
        <v>645</v>
      </c>
    </row>
    <row r="11" spans="1:3" ht="60" x14ac:dyDescent="0.25">
      <c r="A11" s="278"/>
      <c r="B11" s="281" t="s">
        <v>646</v>
      </c>
      <c r="C11" s="282" t="s">
        <v>647</v>
      </c>
    </row>
    <row r="12" spans="1:3" ht="60" x14ac:dyDescent="0.25">
      <c r="A12" s="278"/>
      <c r="B12" s="281" t="s">
        <v>648</v>
      </c>
      <c r="C12" s="282" t="s">
        <v>649</v>
      </c>
    </row>
    <row r="13" spans="1:3" ht="60" x14ac:dyDescent="0.25">
      <c r="A13" s="278"/>
      <c r="B13" s="281" t="s">
        <v>650</v>
      </c>
      <c r="C13" s="282" t="s">
        <v>651</v>
      </c>
    </row>
    <row r="14" spans="1:3" ht="60" x14ac:dyDescent="0.25">
      <c r="A14" s="278"/>
      <c r="B14" s="281" t="s">
        <v>652</v>
      </c>
      <c r="C14" s="282" t="s">
        <v>653</v>
      </c>
    </row>
    <row r="15" spans="1:3" ht="60" x14ac:dyDescent="0.25">
      <c r="A15" s="278"/>
      <c r="B15" s="281" t="s">
        <v>654</v>
      </c>
      <c r="C15" s="282" t="s">
        <v>655</v>
      </c>
    </row>
    <row r="16" spans="1:3" ht="60" x14ac:dyDescent="0.25">
      <c r="A16" s="278"/>
      <c r="B16" s="281" t="s">
        <v>656</v>
      </c>
      <c r="C16" s="282" t="s">
        <v>657</v>
      </c>
    </row>
    <row r="17" spans="1:3" ht="60" x14ac:dyDescent="0.25">
      <c r="A17" s="278"/>
      <c r="B17" s="281" t="s">
        <v>658</v>
      </c>
      <c r="C17" s="282" t="s">
        <v>659</v>
      </c>
    </row>
    <row r="18" spans="1:3" ht="45" x14ac:dyDescent="0.25">
      <c r="A18" s="278"/>
      <c r="B18" s="281" t="s">
        <v>660</v>
      </c>
      <c r="C18" s="282" t="s">
        <v>661</v>
      </c>
    </row>
    <row r="19" spans="1:3" ht="60" x14ac:dyDescent="0.25">
      <c r="A19" s="278"/>
      <c r="B19" s="281" t="s">
        <v>662</v>
      </c>
      <c r="C19" s="282" t="s">
        <v>663</v>
      </c>
    </row>
    <row r="20" spans="1:3" ht="60" x14ac:dyDescent="0.25">
      <c r="A20" s="278"/>
      <c r="B20" s="281" t="s">
        <v>664</v>
      </c>
      <c r="C20" s="282" t="s">
        <v>665</v>
      </c>
    </row>
    <row r="21" spans="1:3" ht="75" x14ac:dyDescent="0.25">
      <c r="A21" s="278"/>
      <c r="B21" s="281" t="s">
        <v>666</v>
      </c>
      <c r="C21" s="282" t="s">
        <v>667</v>
      </c>
    </row>
    <row r="22" spans="1:3" ht="69" customHeight="1" x14ac:dyDescent="0.25">
      <c r="A22" s="278"/>
      <c r="B22" s="281" t="s">
        <v>668</v>
      </c>
      <c r="C22" s="282" t="s">
        <v>669</v>
      </c>
    </row>
    <row r="23" spans="1:3" ht="120.75" thickBot="1" x14ac:dyDescent="0.3">
      <c r="A23" s="278"/>
      <c r="B23" s="283" t="s">
        <v>670</v>
      </c>
      <c r="C23" s="284" t="s">
        <v>671</v>
      </c>
    </row>
  </sheetData>
  <hyperlinks>
    <hyperlink ref="B3" r:id="rId1" xr:uid="{00000000-0004-0000-0D00-000000000000}"/>
    <hyperlink ref="B4" r:id="rId2" xr:uid="{00000000-0004-0000-0D00-000001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dimension ref="A1:C38"/>
  <sheetViews>
    <sheetView workbookViewId="0">
      <selection activeCell="C7" sqref="C7"/>
    </sheetView>
  </sheetViews>
  <sheetFormatPr baseColWidth="10" defaultRowHeight="15" x14ac:dyDescent="0.25"/>
  <cols>
    <col min="2" max="2" width="115.28515625" customWidth="1"/>
    <col min="3" max="3" width="8.28515625" style="258" customWidth="1"/>
  </cols>
  <sheetData>
    <row r="1" spans="1:3" x14ac:dyDescent="0.25">
      <c r="A1" t="s">
        <v>563</v>
      </c>
      <c r="B1" t="s">
        <v>564</v>
      </c>
    </row>
    <row r="2" spans="1:3" x14ac:dyDescent="0.25">
      <c r="B2" s="259" t="s">
        <v>565</v>
      </c>
    </row>
    <row r="3" spans="1:3" x14ac:dyDescent="0.25">
      <c r="C3" s="260" t="s">
        <v>566</v>
      </c>
    </row>
    <row r="4" spans="1:3" x14ac:dyDescent="0.25">
      <c r="A4" s="261" t="s">
        <v>567</v>
      </c>
      <c r="B4" s="262" t="s">
        <v>568</v>
      </c>
      <c r="C4" s="260" t="s">
        <v>569</v>
      </c>
    </row>
    <row r="5" spans="1:3" ht="30" hidden="1" x14ac:dyDescent="0.25">
      <c r="A5" s="867" t="s">
        <v>570</v>
      </c>
      <c r="B5" s="263" t="s">
        <v>571</v>
      </c>
      <c r="C5" s="260" t="s">
        <v>572</v>
      </c>
    </row>
    <row r="6" spans="1:3" hidden="1" x14ac:dyDescent="0.25">
      <c r="A6" s="867"/>
      <c r="B6" s="263" t="s">
        <v>573</v>
      </c>
      <c r="C6" s="260" t="s">
        <v>572</v>
      </c>
    </row>
    <row r="7" spans="1:3" ht="45" x14ac:dyDescent="0.25">
      <c r="A7" s="867"/>
      <c r="B7" s="263" t="s">
        <v>574</v>
      </c>
      <c r="C7" s="260" t="s">
        <v>569</v>
      </c>
    </row>
    <row r="8" spans="1:3" ht="30" hidden="1" x14ac:dyDescent="0.25">
      <c r="A8" s="867"/>
      <c r="B8" s="263" t="s">
        <v>575</v>
      </c>
      <c r="C8" s="260" t="s">
        <v>572</v>
      </c>
    </row>
    <row r="9" spans="1:3" ht="30" x14ac:dyDescent="0.25">
      <c r="A9" s="867"/>
      <c r="B9" s="263" t="s">
        <v>576</v>
      </c>
      <c r="C9" s="260" t="s">
        <v>569</v>
      </c>
    </row>
    <row r="10" spans="1:3" hidden="1" x14ac:dyDescent="0.25">
      <c r="A10" s="867"/>
      <c r="B10" s="263" t="s">
        <v>577</v>
      </c>
      <c r="C10" s="260" t="s">
        <v>572</v>
      </c>
    </row>
    <row r="11" spans="1:3" ht="30" hidden="1" x14ac:dyDescent="0.25">
      <c r="A11" s="867"/>
      <c r="B11" s="263" t="s">
        <v>578</v>
      </c>
      <c r="C11" s="260" t="s">
        <v>572</v>
      </c>
    </row>
    <row r="12" spans="1:3" hidden="1" x14ac:dyDescent="0.25">
      <c r="A12" s="867"/>
      <c r="B12" s="263" t="s">
        <v>579</v>
      </c>
      <c r="C12" s="260" t="s">
        <v>572</v>
      </c>
    </row>
    <row r="13" spans="1:3" ht="30" x14ac:dyDescent="0.25">
      <c r="A13" s="867"/>
      <c r="B13" s="263" t="s">
        <v>580</v>
      </c>
      <c r="C13" s="260" t="s">
        <v>569</v>
      </c>
    </row>
    <row r="14" spans="1:3" x14ac:dyDescent="0.25">
      <c r="A14" s="867"/>
      <c r="B14" s="263" t="s">
        <v>581</v>
      </c>
      <c r="C14" s="260" t="s">
        <v>569</v>
      </c>
    </row>
    <row r="15" spans="1:3" hidden="1" x14ac:dyDescent="0.25">
      <c r="A15" s="867"/>
      <c r="B15" s="263" t="s">
        <v>582</v>
      </c>
      <c r="C15" s="260" t="s">
        <v>572</v>
      </c>
    </row>
    <row r="16" spans="1:3" ht="30" hidden="1" x14ac:dyDescent="0.25">
      <c r="A16" s="867"/>
      <c r="B16" s="263" t="s">
        <v>583</v>
      </c>
      <c r="C16" s="260" t="s">
        <v>572</v>
      </c>
    </row>
    <row r="17" spans="1:3" x14ac:dyDescent="0.25">
      <c r="A17" s="264" t="s">
        <v>584</v>
      </c>
      <c r="B17" s="262" t="s">
        <v>585</v>
      </c>
      <c r="C17" s="260" t="s">
        <v>569</v>
      </c>
    </row>
    <row r="18" spans="1:3" ht="30" hidden="1" x14ac:dyDescent="0.25">
      <c r="A18" s="867" t="s">
        <v>570</v>
      </c>
      <c r="B18" s="263" t="s">
        <v>586</v>
      </c>
      <c r="C18" s="260" t="s">
        <v>572</v>
      </c>
    </row>
    <row r="19" spans="1:3" ht="30" x14ac:dyDescent="0.25">
      <c r="A19" s="867"/>
      <c r="B19" s="263" t="s">
        <v>587</v>
      </c>
      <c r="C19" s="260" t="s">
        <v>569</v>
      </c>
    </row>
    <row r="20" spans="1:3" ht="30" hidden="1" x14ac:dyDescent="0.25">
      <c r="A20" s="867"/>
      <c r="B20" s="263" t="s">
        <v>588</v>
      </c>
      <c r="C20" s="260" t="s">
        <v>572</v>
      </c>
    </row>
    <row r="21" spans="1:3" ht="30" hidden="1" x14ac:dyDescent="0.25">
      <c r="A21" s="867"/>
      <c r="B21" s="263" t="s">
        <v>589</v>
      </c>
      <c r="C21" s="260" t="s">
        <v>572</v>
      </c>
    </row>
    <row r="22" spans="1:3" hidden="1" x14ac:dyDescent="0.25">
      <c r="A22" s="867"/>
      <c r="B22" s="263" t="s">
        <v>590</v>
      </c>
      <c r="C22" s="260" t="s">
        <v>572</v>
      </c>
    </row>
    <row r="23" spans="1:3" ht="30" x14ac:dyDescent="0.25">
      <c r="A23" s="867"/>
      <c r="B23" s="265" t="s">
        <v>591</v>
      </c>
      <c r="C23" s="260" t="s">
        <v>569</v>
      </c>
    </row>
    <row r="24" spans="1:3" ht="30" hidden="1" x14ac:dyDescent="0.25">
      <c r="A24" s="867"/>
      <c r="B24" s="263" t="s">
        <v>592</v>
      </c>
      <c r="C24" s="260" t="s">
        <v>572</v>
      </c>
    </row>
    <row r="25" spans="1:3" x14ac:dyDescent="0.25">
      <c r="A25" s="867"/>
      <c r="B25" s="263" t="s">
        <v>593</v>
      </c>
      <c r="C25" s="260" t="s">
        <v>569</v>
      </c>
    </row>
    <row r="26" spans="1:3" x14ac:dyDescent="0.25">
      <c r="A26" s="264" t="s">
        <v>594</v>
      </c>
      <c r="B26" s="262" t="s">
        <v>595</v>
      </c>
      <c r="C26" s="260" t="s">
        <v>569</v>
      </c>
    </row>
    <row r="27" spans="1:3" ht="30" hidden="1" x14ac:dyDescent="0.25">
      <c r="A27" s="867" t="s">
        <v>570</v>
      </c>
      <c r="B27" s="263" t="s">
        <v>596</v>
      </c>
      <c r="C27" s="260" t="s">
        <v>572</v>
      </c>
    </row>
    <row r="28" spans="1:3" ht="30" x14ac:dyDescent="0.25">
      <c r="A28" s="867"/>
      <c r="B28" s="263" t="s">
        <v>597</v>
      </c>
      <c r="C28" s="260" t="s">
        <v>569</v>
      </c>
    </row>
    <row r="29" spans="1:3" ht="30" x14ac:dyDescent="0.25">
      <c r="A29" s="867"/>
      <c r="B29" s="263" t="s">
        <v>598</v>
      </c>
      <c r="C29" s="260" t="s">
        <v>569</v>
      </c>
    </row>
    <row r="30" spans="1:3" ht="30" hidden="1" x14ac:dyDescent="0.25">
      <c r="A30" s="867"/>
      <c r="B30" s="263" t="s">
        <v>599</v>
      </c>
      <c r="C30" s="260" t="s">
        <v>572</v>
      </c>
    </row>
    <row r="31" spans="1:3" ht="30" hidden="1" x14ac:dyDescent="0.25">
      <c r="A31" s="867"/>
      <c r="B31" s="263" t="s">
        <v>600</v>
      </c>
      <c r="C31" s="260" t="s">
        <v>572</v>
      </c>
    </row>
    <row r="32" spans="1:3" hidden="1" x14ac:dyDescent="0.25">
      <c r="A32" s="264" t="s">
        <v>601</v>
      </c>
      <c r="B32" s="262" t="s">
        <v>602</v>
      </c>
      <c r="C32" s="260" t="s">
        <v>572</v>
      </c>
    </row>
    <row r="33" spans="1:3" ht="45" hidden="1" x14ac:dyDescent="0.25">
      <c r="A33" s="266" t="s">
        <v>570</v>
      </c>
      <c r="B33" s="263" t="s">
        <v>603</v>
      </c>
      <c r="C33" s="260" t="s">
        <v>572</v>
      </c>
    </row>
    <row r="34" spans="1:3" x14ac:dyDescent="0.25">
      <c r="A34" s="264" t="s">
        <v>604</v>
      </c>
      <c r="B34" s="262" t="s">
        <v>605</v>
      </c>
      <c r="C34" s="260" t="s">
        <v>569</v>
      </c>
    </row>
    <row r="35" spans="1:3" ht="30" x14ac:dyDescent="0.25">
      <c r="A35" s="867" t="s">
        <v>570</v>
      </c>
      <c r="B35" s="265" t="s">
        <v>606</v>
      </c>
      <c r="C35" s="260" t="s">
        <v>569</v>
      </c>
    </row>
    <row r="36" spans="1:3" ht="30" hidden="1" x14ac:dyDescent="0.25">
      <c r="A36" s="867"/>
      <c r="B36" s="265" t="s">
        <v>607</v>
      </c>
      <c r="C36" s="260" t="s">
        <v>572</v>
      </c>
    </row>
    <row r="37" spans="1:3" x14ac:dyDescent="0.25">
      <c r="A37" s="867"/>
      <c r="B37" s="265" t="s">
        <v>608</v>
      </c>
      <c r="C37" s="260" t="s">
        <v>569</v>
      </c>
    </row>
    <row r="38" spans="1:3" x14ac:dyDescent="0.25">
      <c r="A38" s="867"/>
      <c r="B38" s="265" t="s">
        <v>609</v>
      </c>
      <c r="C38" s="260" t="s">
        <v>569</v>
      </c>
    </row>
  </sheetData>
  <autoFilter ref="A3:C38" xr:uid="{00000000-0009-0000-0000-00000E000000}">
    <filterColumn colId="2">
      <filters>
        <filter val="Si"/>
      </filters>
    </filterColumn>
  </autoFilter>
  <mergeCells count="4">
    <mergeCell ref="A5:A16"/>
    <mergeCell ref="A18:A25"/>
    <mergeCell ref="A27:A31"/>
    <mergeCell ref="A35:A38"/>
  </mergeCells>
  <hyperlinks>
    <hyperlink ref="B2" r:id="rId1" xr:uid="{00000000-0004-0000-0E00-000000000000}"/>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
  <sheetViews>
    <sheetView topLeftCell="A7" workbookViewId="0">
      <selection activeCell="C7" sqref="C7"/>
    </sheetView>
  </sheetViews>
  <sheetFormatPr baseColWidth="10" defaultRowHeight="15" x14ac:dyDescent="0.25"/>
  <cols>
    <col min="1" max="1" width="9.28515625" customWidth="1"/>
    <col min="2" max="3" width="37.85546875" style="267" customWidth="1"/>
  </cols>
  <sheetData>
    <row r="1" spans="1:3" ht="38.25" customHeight="1" x14ac:dyDescent="0.25">
      <c r="A1" s="258" t="s">
        <v>563</v>
      </c>
      <c r="B1" s="868" t="s">
        <v>610</v>
      </c>
      <c r="C1" s="868"/>
    </row>
    <row r="2" spans="1:3" ht="15.75" thickBot="1" x14ac:dyDescent="0.3"/>
    <row r="3" spans="1:3" ht="21.75" customHeight="1" thickBot="1" x14ac:dyDescent="0.3">
      <c r="B3" s="268" t="s">
        <v>611</v>
      </c>
      <c r="C3" s="269" t="s">
        <v>612</v>
      </c>
    </row>
    <row r="4" spans="1:3" x14ac:dyDescent="0.25">
      <c r="B4" s="869" t="s">
        <v>613</v>
      </c>
      <c r="C4" s="270" t="s">
        <v>614</v>
      </c>
    </row>
    <row r="5" spans="1:3" x14ac:dyDescent="0.25">
      <c r="B5" s="870"/>
      <c r="C5" s="271" t="s">
        <v>388</v>
      </c>
    </row>
    <row r="6" spans="1:3" ht="21" customHeight="1" x14ac:dyDescent="0.25">
      <c r="B6" s="870" t="s">
        <v>615</v>
      </c>
      <c r="C6" s="271" t="s">
        <v>616</v>
      </c>
    </row>
    <row r="7" spans="1:3" ht="30" x14ac:dyDescent="0.25">
      <c r="B7" s="870"/>
      <c r="C7" s="271" t="s">
        <v>617</v>
      </c>
    </row>
    <row r="8" spans="1:3" ht="30" x14ac:dyDescent="0.25">
      <c r="B8" s="870" t="s">
        <v>618</v>
      </c>
      <c r="C8" s="271" t="s">
        <v>405</v>
      </c>
    </row>
    <row r="9" spans="1:3" x14ac:dyDescent="0.25">
      <c r="B9" s="870"/>
      <c r="C9" s="271" t="s">
        <v>619</v>
      </c>
    </row>
    <row r="10" spans="1:3" x14ac:dyDescent="0.25">
      <c r="B10" s="870"/>
      <c r="C10" s="271" t="s">
        <v>620</v>
      </c>
    </row>
    <row r="11" spans="1:3" x14ac:dyDescent="0.25">
      <c r="B11" s="870"/>
      <c r="C11" s="271" t="s">
        <v>621</v>
      </c>
    </row>
    <row r="12" spans="1:3" x14ac:dyDescent="0.25">
      <c r="B12" s="870"/>
      <c r="C12" s="271" t="s">
        <v>622</v>
      </c>
    </row>
    <row r="13" spans="1:3" x14ac:dyDescent="0.25">
      <c r="B13" s="870"/>
      <c r="C13" s="271" t="s">
        <v>623</v>
      </c>
    </row>
    <row r="14" spans="1:3" x14ac:dyDescent="0.25">
      <c r="B14" s="870"/>
      <c r="C14" s="271" t="s">
        <v>624</v>
      </c>
    </row>
    <row r="15" spans="1:3" ht="30" x14ac:dyDescent="0.25">
      <c r="B15" s="870"/>
      <c r="C15" s="271" t="s">
        <v>625</v>
      </c>
    </row>
    <row r="16" spans="1:3" ht="30" x14ac:dyDescent="0.25">
      <c r="B16" s="272" t="s">
        <v>626</v>
      </c>
      <c r="C16" s="271" t="s">
        <v>627</v>
      </c>
    </row>
    <row r="17" spans="2:3" x14ac:dyDescent="0.25">
      <c r="B17" s="870" t="s">
        <v>628</v>
      </c>
      <c r="C17" s="271" t="s">
        <v>535</v>
      </c>
    </row>
    <row r="18" spans="2:3" ht="30" x14ac:dyDescent="0.25">
      <c r="B18" s="870"/>
      <c r="C18" s="271" t="s">
        <v>629</v>
      </c>
    </row>
    <row r="19" spans="2:3" x14ac:dyDescent="0.25">
      <c r="B19" s="870"/>
      <c r="C19" s="271" t="s">
        <v>630</v>
      </c>
    </row>
    <row r="20" spans="2:3" ht="30" x14ac:dyDescent="0.25">
      <c r="B20" s="272" t="s">
        <v>631</v>
      </c>
      <c r="C20" s="271" t="s">
        <v>631</v>
      </c>
    </row>
    <row r="21" spans="2:3" ht="15.75" thickBot="1" x14ac:dyDescent="0.3">
      <c r="B21" s="273" t="s">
        <v>468</v>
      </c>
      <c r="C21" s="274" t="s">
        <v>468</v>
      </c>
    </row>
  </sheetData>
  <mergeCells count="5">
    <mergeCell ref="B1:C1"/>
    <mergeCell ref="B4:B5"/>
    <mergeCell ref="B6:B7"/>
    <mergeCell ref="B8:B15"/>
    <mergeCell ref="B17:B1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3"/>
  <sheetViews>
    <sheetView zoomScale="80" zoomScaleNormal="80" workbookViewId="0">
      <pane ySplit="2" topLeftCell="A3" activePane="bottomLeft" state="frozen"/>
      <selection activeCell="A11" sqref="A11"/>
      <selection pane="bottomLeft" activeCell="A9" sqref="A9:A14"/>
    </sheetView>
  </sheetViews>
  <sheetFormatPr baseColWidth="10" defaultColWidth="11.42578125" defaultRowHeight="12.75" x14ac:dyDescent="0.2"/>
  <cols>
    <col min="1" max="1" width="36.42578125" style="1" customWidth="1"/>
    <col min="2" max="2" width="46.85546875" style="292" customWidth="1"/>
    <col min="3" max="3" width="42.5703125" style="1" customWidth="1"/>
    <col min="4" max="5" width="32.5703125" style="1" customWidth="1"/>
    <col min="6" max="16384" width="11.42578125" style="294"/>
  </cols>
  <sheetData>
    <row r="1" spans="1:8" x14ac:dyDescent="0.2">
      <c r="A1" s="628" t="s">
        <v>9</v>
      </c>
      <c r="B1" s="630" t="s">
        <v>10</v>
      </c>
      <c r="C1" s="634" t="s">
        <v>14</v>
      </c>
      <c r="D1" s="630" t="s">
        <v>30</v>
      </c>
      <c r="E1" s="632" t="s">
        <v>31</v>
      </c>
      <c r="H1" s="295" t="s">
        <v>32</v>
      </c>
    </row>
    <row r="2" spans="1:8" ht="13.5" thickBot="1" x14ac:dyDescent="0.25">
      <c r="A2" s="629"/>
      <c r="B2" s="631"/>
      <c r="C2" s="635"/>
      <c r="D2" s="631"/>
      <c r="E2" s="633"/>
      <c r="H2" s="295" t="s">
        <v>33</v>
      </c>
    </row>
    <row r="3" spans="1:8" ht="52.5" customHeight="1" x14ac:dyDescent="0.2">
      <c r="A3" s="613" t="s">
        <v>108</v>
      </c>
      <c r="B3" s="871" t="s">
        <v>109</v>
      </c>
      <c r="C3" s="287" t="s">
        <v>112</v>
      </c>
      <c r="D3" s="287" t="s">
        <v>120</v>
      </c>
      <c r="E3" s="289" t="s">
        <v>121</v>
      </c>
    </row>
    <row r="4" spans="1:8" ht="52.5" customHeight="1" x14ac:dyDescent="0.2">
      <c r="A4" s="610"/>
      <c r="B4" s="611"/>
      <c r="C4" s="288" t="s">
        <v>124</v>
      </c>
      <c r="D4" s="288" t="s">
        <v>120</v>
      </c>
      <c r="E4" s="16" t="s">
        <v>121</v>
      </c>
    </row>
    <row r="5" spans="1:8" ht="62.25" customHeight="1" x14ac:dyDescent="0.2">
      <c r="A5" s="610"/>
      <c r="B5" s="286" t="s">
        <v>155</v>
      </c>
      <c r="C5" s="288" t="s">
        <v>158</v>
      </c>
      <c r="D5" s="286" t="s">
        <v>161</v>
      </c>
      <c r="E5" s="32" t="s">
        <v>162</v>
      </c>
    </row>
    <row r="6" spans="1:8" ht="76.5" customHeight="1" x14ac:dyDescent="0.2">
      <c r="A6" s="610" t="s">
        <v>94</v>
      </c>
      <c r="B6" s="288" t="s">
        <v>95</v>
      </c>
      <c r="C6" s="288" t="s">
        <v>98</v>
      </c>
      <c r="D6" s="288" t="s">
        <v>44</v>
      </c>
      <c r="E6" s="16" t="s">
        <v>104</v>
      </c>
    </row>
    <row r="7" spans="1:8" ht="51.75" customHeight="1" x14ac:dyDescent="0.2">
      <c r="A7" s="610"/>
      <c r="B7" s="609" t="s">
        <v>163</v>
      </c>
      <c r="C7" s="286" t="s">
        <v>165</v>
      </c>
      <c r="D7" s="286" t="s">
        <v>161</v>
      </c>
      <c r="E7" s="32" t="s">
        <v>162</v>
      </c>
    </row>
    <row r="8" spans="1:8" ht="51.75" customHeight="1" x14ac:dyDescent="0.2">
      <c r="A8" s="610"/>
      <c r="B8" s="609"/>
      <c r="C8" s="286" t="s">
        <v>169</v>
      </c>
      <c r="D8" s="286" t="s">
        <v>161</v>
      </c>
      <c r="E8" s="32" t="s">
        <v>162</v>
      </c>
    </row>
    <row r="9" spans="1:8" ht="55.5" customHeight="1" x14ac:dyDescent="0.2">
      <c r="A9" s="610" t="s">
        <v>183</v>
      </c>
      <c r="B9" s="609" t="s">
        <v>184</v>
      </c>
      <c r="C9" s="288" t="s">
        <v>186</v>
      </c>
      <c r="D9" s="286" t="s">
        <v>161</v>
      </c>
      <c r="E9" s="32" t="s">
        <v>542</v>
      </c>
    </row>
    <row r="10" spans="1:8" ht="55.5" customHeight="1" x14ac:dyDescent="0.2">
      <c r="A10" s="610"/>
      <c r="B10" s="609"/>
      <c r="C10" s="288" t="s">
        <v>189</v>
      </c>
      <c r="D10" s="286" t="s">
        <v>161</v>
      </c>
      <c r="E10" s="32" t="s">
        <v>542</v>
      </c>
    </row>
    <row r="11" spans="1:8" ht="55.5" customHeight="1" x14ac:dyDescent="0.2">
      <c r="A11" s="610"/>
      <c r="B11" s="18" t="s">
        <v>229</v>
      </c>
      <c r="C11" s="17" t="s">
        <v>230</v>
      </c>
      <c r="D11" s="18" t="s">
        <v>59</v>
      </c>
      <c r="E11" s="67" t="s">
        <v>219</v>
      </c>
    </row>
    <row r="12" spans="1:8" ht="55.5" customHeight="1" x14ac:dyDescent="0.2">
      <c r="A12" s="610"/>
      <c r="B12" s="657" t="s">
        <v>232</v>
      </c>
      <c r="C12" s="61" t="s">
        <v>235</v>
      </c>
      <c r="D12" s="18" t="s">
        <v>59</v>
      </c>
      <c r="E12" s="67" t="s">
        <v>241</v>
      </c>
    </row>
    <row r="13" spans="1:8" ht="55.5" customHeight="1" x14ac:dyDescent="0.2">
      <c r="A13" s="610"/>
      <c r="B13" s="657"/>
      <c r="C13" s="61" t="s">
        <v>243</v>
      </c>
      <c r="D13" s="18" t="s">
        <v>59</v>
      </c>
      <c r="E13" s="67" t="s">
        <v>241</v>
      </c>
    </row>
    <row r="14" spans="1:8" ht="55.5" customHeight="1" x14ac:dyDescent="0.2">
      <c r="A14" s="610"/>
      <c r="B14" s="657"/>
      <c r="C14" s="61" t="s">
        <v>248</v>
      </c>
      <c r="D14" s="18" t="s">
        <v>59</v>
      </c>
      <c r="E14" s="67" t="s">
        <v>241</v>
      </c>
    </row>
    <row r="15" spans="1:8" ht="55.5" customHeight="1" x14ac:dyDescent="0.2">
      <c r="A15" s="610" t="s">
        <v>170</v>
      </c>
      <c r="B15" s="611" t="s">
        <v>171</v>
      </c>
      <c r="C15" s="288" t="s">
        <v>174</v>
      </c>
      <c r="D15" s="286" t="s">
        <v>161</v>
      </c>
      <c r="E15" s="32" t="s">
        <v>178</v>
      </c>
    </row>
    <row r="16" spans="1:8" ht="55.5" customHeight="1" x14ac:dyDescent="0.2">
      <c r="A16" s="610"/>
      <c r="B16" s="611"/>
      <c r="C16" s="288" t="s">
        <v>179</v>
      </c>
      <c r="D16" s="286" t="s">
        <v>161</v>
      </c>
      <c r="E16" s="32" t="s">
        <v>178</v>
      </c>
    </row>
    <row r="17" spans="1:5" s="296" customFormat="1" ht="51" customHeight="1" x14ac:dyDescent="0.2">
      <c r="A17" s="610" t="s">
        <v>34</v>
      </c>
      <c r="B17" s="288" t="s">
        <v>35</v>
      </c>
      <c r="C17" s="288" t="s">
        <v>37</v>
      </c>
      <c r="D17" s="288" t="s">
        <v>44</v>
      </c>
      <c r="E17" s="16" t="s">
        <v>45</v>
      </c>
    </row>
    <row r="18" spans="1:5" s="296" customFormat="1" ht="33.75" customHeight="1" x14ac:dyDescent="0.2">
      <c r="A18" s="610"/>
      <c r="B18" s="611" t="s">
        <v>48</v>
      </c>
      <c r="C18" s="288" t="s">
        <v>50</v>
      </c>
      <c r="D18" s="288" t="s">
        <v>44</v>
      </c>
      <c r="E18" s="16" t="s">
        <v>45</v>
      </c>
    </row>
    <row r="19" spans="1:5" ht="33.75" customHeight="1" x14ac:dyDescent="0.2">
      <c r="A19" s="610"/>
      <c r="B19" s="611"/>
      <c r="C19" s="17" t="s">
        <v>555</v>
      </c>
      <c r="D19" s="18" t="s">
        <v>59</v>
      </c>
      <c r="E19" s="26" t="s">
        <v>60</v>
      </c>
    </row>
    <row r="20" spans="1:5" ht="36" customHeight="1" x14ac:dyDescent="0.2">
      <c r="A20" s="610"/>
      <c r="B20" s="611" t="s">
        <v>64</v>
      </c>
      <c r="C20" s="288" t="s">
        <v>67</v>
      </c>
      <c r="D20" s="288" t="s">
        <v>44</v>
      </c>
      <c r="E20" s="16" t="s">
        <v>73</v>
      </c>
    </row>
    <row r="21" spans="1:5" ht="36" customHeight="1" x14ac:dyDescent="0.2">
      <c r="A21" s="610"/>
      <c r="B21" s="611"/>
      <c r="C21" s="288" t="s">
        <v>76</v>
      </c>
      <c r="D21" s="288" t="s">
        <v>44</v>
      </c>
      <c r="E21" s="16" t="s">
        <v>83</v>
      </c>
    </row>
    <row r="22" spans="1:5" ht="40.5" customHeight="1" x14ac:dyDescent="0.2">
      <c r="A22" s="610"/>
      <c r="B22" s="611"/>
      <c r="C22" s="288" t="s">
        <v>86</v>
      </c>
      <c r="D22" s="288" t="s">
        <v>44</v>
      </c>
      <c r="E22" s="16" t="s">
        <v>90</v>
      </c>
    </row>
    <row r="23" spans="1:5" ht="48" customHeight="1" x14ac:dyDescent="0.2">
      <c r="A23" s="610"/>
      <c r="B23" s="609" t="s">
        <v>132</v>
      </c>
      <c r="C23" s="286" t="s">
        <v>135</v>
      </c>
      <c r="D23" s="288" t="s">
        <v>120</v>
      </c>
      <c r="E23" s="16" t="s">
        <v>139</v>
      </c>
    </row>
    <row r="24" spans="1:5" ht="48" customHeight="1" x14ac:dyDescent="0.2">
      <c r="A24" s="610"/>
      <c r="B24" s="609"/>
      <c r="C24" s="288" t="s">
        <v>142</v>
      </c>
      <c r="D24" s="288" t="s">
        <v>120</v>
      </c>
      <c r="E24" s="16" t="s">
        <v>139</v>
      </c>
    </row>
    <row r="25" spans="1:5" ht="48" customHeight="1" x14ac:dyDescent="0.2">
      <c r="A25" s="610"/>
      <c r="B25" s="609"/>
      <c r="C25" s="288" t="s">
        <v>146</v>
      </c>
      <c r="D25" s="288" t="s">
        <v>120</v>
      </c>
      <c r="E25" s="16" t="s">
        <v>139</v>
      </c>
    </row>
    <row r="26" spans="1:5" ht="48" customHeight="1" x14ac:dyDescent="0.2">
      <c r="A26" s="610"/>
      <c r="B26" s="609"/>
      <c r="C26" s="288" t="s">
        <v>150</v>
      </c>
      <c r="D26" s="288" t="s">
        <v>120</v>
      </c>
      <c r="E26" s="16" t="s">
        <v>121</v>
      </c>
    </row>
    <row r="27" spans="1:5" ht="61.5" customHeight="1" x14ac:dyDescent="0.2">
      <c r="A27" s="610"/>
      <c r="B27" s="288" t="s">
        <v>192</v>
      </c>
      <c r="C27" s="288" t="s">
        <v>195</v>
      </c>
      <c r="D27" s="286" t="s">
        <v>59</v>
      </c>
      <c r="E27" s="32" t="s">
        <v>198</v>
      </c>
    </row>
    <row r="28" spans="1:5" s="297" customFormat="1" ht="114.75" customHeight="1" x14ac:dyDescent="0.2">
      <c r="A28" s="610"/>
      <c r="B28" s="657" t="s">
        <v>546</v>
      </c>
      <c r="C28" s="17" t="s">
        <v>203</v>
      </c>
      <c r="D28" s="18" t="s">
        <v>59</v>
      </c>
      <c r="E28" s="59" t="s">
        <v>210</v>
      </c>
    </row>
    <row r="29" spans="1:5" ht="51" customHeight="1" x14ac:dyDescent="0.2">
      <c r="A29" s="610"/>
      <c r="B29" s="657"/>
      <c r="C29" s="17" t="s">
        <v>213</v>
      </c>
      <c r="D29" s="18" t="s">
        <v>59</v>
      </c>
      <c r="E29" s="67" t="s">
        <v>219</v>
      </c>
    </row>
    <row r="30" spans="1:5" ht="51" customHeight="1" x14ac:dyDescent="0.2">
      <c r="A30" s="610"/>
      <c r="B30" s="657"/>
      <c r="C30" s="17" t="s">
        <v>222</v>
      </c>
      <c r="D30" s="18" t="s">
        <v>59</v>
      </c>
      <c r="E30" s="67" t="s">
        <v>219</v>
      </c>
    </row>
    <row r="31" spans="1:5" ht="51" customHeight="1" x14ac:dyDescent="0.2">
      <c r="A31" s="610"/>
      <c r="B31" s="654" t="s">
        <v>255</v>
      </c>
      <c r="C31" s="18" t="s">
        <v>258</v>
      </c>
      <c r="D31" s="18" t="s">
        <v>59</v>
      </c>
      <c r="E31" s="26" t="s">
        <v>264</v>
      </c>
    </row>
    <row r="32" spans="1:5" ht="51" customHeight="1" x14ac:dyDescent="0.2">
      <c r="A32" s="610"/>
      <c r="B32" s="654"/>
      <c r="C32" s="61" t="s">
        <v>266</v>
      </c>
      <c r="D32" s="18" t="s">
        <v>59</v>
      </c>
      <c r="E32" s="26" t="s">
        <v>264</v>
      </c>
    </row>
    <row r="33" spans="1:5" s="297" customFormat="1" ht="51" customHeight="1" x14ac:dyDescent="0.2">
      <c r="A33" s="610"/>
      <c r="B33" s="654"/>
      <c r="C33" s="17" t="s">
        <v>271</v>
      </c>
      <c r="D33" s="18" t="s">
        <v>59</v>
      </c>
      <c r="E33" s="26" t="s">
        <v>264</v>
      </c>
    </row>
    <row r="34" spans="1:5" s="297" customFormat="1" ht="51" customHeight="1" x14ac:dyDescent="0.2">
      <c r="A34" s="610"/>
      <c r="B34" s="654"/>
      <c r="C34" s="17" t="s">
        <v>278</v>
      </c>
      <c r="D34" s="18" t="s">
        <v>59</v>
      </c>
      <c r="E34" s="26" t="s">
        <v>264</v>
      </c>
    </row>
    <row r="35" spans="1:5" s="298" customFormat="1" ht="48" customHeight="1" x14ac:dyDescent="0.25">
      <c r="A35" s="610"/>
      <c r="B35" s="288" t="s">
        <v>286</v>
      </c>
      <c r="C35" s="288" t="s">
        <v>289</v>
      </c>
      <c r="D35" s="18" t="s">
        <v>59</v>
      </c>
      <c r="E35" s="16" t="s">
        <v>295</v>
      </c>
    </row>
    <row r="36" spans="1:5" s="299" customFormat="1" ht="48" customHeight="1" x14ac:dyDescent="0.25">
      <c r="A36" s="610"/>
      <c r="B36" s="288" t="s">
        <v>299</v>
      </c>
      <c r="C36" s="288" t="s">
        <v>301</v>
      </c>
      <c r="D36" s="288" t="s">
        <v>304</v>
      </c>
      <c r="E36" s="16" t="s">
        <v>305</v>
      </c>
    </row>
    <row r="37" spans="1:5" s="300" customFormat="1" ht="63.75" customHeight="1" x14ac:dyDescent="0.2">
      <c r="A37" s="610"/>
      <c r="B37" s="286" t="s">
        <v>308</v>
      </c>
      <c r="C37" s="286" t="s">
        <v>309</v>
      </c>
      <c r="D37" s="288" t="s">
        <v>310</v>
      </c>
      <c r="E37" s="32" t="s">
        <v>311</v>
      </c>
    </row>
    <row r="38" spans="1:5" s="300" customFormat="1" ht="51" customHeight="1" x14ac:dyDescent="0.2">
      <c r="A38" s="610"/>
      <c r="B38" s="611" t="s">
        <v>313</v>
      </c>
      <c r="C38" s="288" t="s">
        <v>314</v>
      </c>
      <c r="D38" s="288" t="s">
        <v>310</v>
      </c>
      <c r="E38" s="32" t="s">
        <v>320</v>
      </c>
    </row>
    <row r="39" spans="1:5" s="300" customFormat="1" ht="63.75" customHeight="1" x14ac:dyDescent="0.2">
      <c r="A39" s="610"/>
      <c r="B39" s="611"/>
      <c r="C39" s="288" t="s">
        <v>321</v>
      </c>
      <c r="D39" s="288" t="s">
        <v>310</v>
      </c>
      <c r="E39" s="32" t="s">
        <v>322</v>
      </c>
    </row>
    <row r="40" spans="1:5" s="300" customFormat="1" ht="51" customHeight="1" x14ac:dyDescent="0.2">
      <c r="A40" s="610"/>
      <c r="B40" s="288" t="s">
        <v>324</v>
      </c>
      <c r="C40" s="288" t="s">
        <v>325</v>
      </c>
      <c r="D40" s="288" t="s">
        <v>310</v>
      </c>
      <c r="E40" s="32" t="s">
        <v>322</v>
      </c>
    </row>
    <row r="41" spans="1:5" ht="63.75" customHeight="1" x14ac:dyDescent="0.2">
      <c r="A41" s="610"/>
      <c r="B41" s="609" t="s">
        <v>328</v>
      </c>
      <c r="C41" s="609" t="s">
        <v>331</v>
      </c>
      <c r="D41" s="286" t="s">
        <v>339</v>
      </c>
      <c r="E41" s="32" t="s">
        <v>340</v>
      </c>
    </row>
    <row r="42" spans="1:5" ht="63.75" customHeight="1" x14ac:dyDescent="0.2">
      <c r="A42" s="610"/>
      <c r="B42" s="609"/>
      <c r="C42" s="609"/>
      <c r="D42" s="286" t="s">
        <v>339</v>
      </c>
      <c r="E42" s="32" t="s">
        <v>340</v>
      </c>
    </row>
    <row r="43" spans="1:5" ht="63.75" customHeight="1" x14ac:dyDescent="0.2">
      <c r="A43" s="610"/>
      <c r="B43" s="609"/>
      <c r="C43" s="609"/>
      <c r="D43" s="286" t="s">
        <v>339</v>
      </c>
      <c r="E43" s="32" t="s">
        <v>340</v>
      </c>
    </row>
    <row r="44" spans="1:5" ht="13.5" thickBot="1" x14ac:dyDescent="0.25">
      <c r="A44" s="293"/>
      <c r="B44" s="290"/>
      <c r="C44" s="81"/>
      <c r="D44" s="80"/>
      <c r="E44" s="83"/>
    </row>
    <row r="45" spans="1:5" ht="13.5" thickBot="1" x14ac:dyDescent="0.25">
      <c r="A45" s="4"/>
      <c r="B45" s="291"/>
      <c r="C45" s="4"/>
      <c r="D45" s="27"/>
      <c r="E45" s="27"/>
    </row>
    <row r="46" spans="1:5" ht="40.5" customHeight="1" x14ac:dyDescent="0.2">
      <c r="A46" s="87" t="s">
        <v>346</v>
      </c>
      <c r="B46" s="876" t="s">
        <v>347</v>
      </c>
      <c r="C46" s="876"/>
      <c r="D46" s="876"/>
      <c r="E46" s="877"/>
    </row>
    <row r="47" spans="1:5" ht="40.5" customHeight="1" x14ac:dyDescent="0.2">
      <c r="A47" s="285" t="s">
        <v>348</v>
      </c>
      <c r="B47" s="653" t="s">
        <v>349</v>
      </c>
      <c r="C47" s="653"/>
      <c r="D47" s="653"/>
      <c r="E47" s="698"/>
    </row>
    <row r="48" spans="1:5" ht="30.75" customHeight="1" x14ac:dyDescent="0.2">
      <c r="A48" s="872" t="s">
        <v>350</v>
      </c>
      <c r="B48" s="653" t="s">
        <v>108</v>
      </c>
      <c r="C48" s="653"/>
      <c r="D48" s="653"/>
      <c r="E48" s="698"/>
    </row>
    <row r="49" spans="1:5" ht="30.75" customHeight="1" x14ac:dyDescent="0.2">
      <c r="A49" s="872"/>
      <c r="B49" s="653" t="s">
        <v>94</v>
      </c>
      <c r="C49" s="653"/>
      <c r="D49" s="653"/>
      <c r="E49" s="698"/>
    </row>
    <row r="50" spans="1:5" ht="30.75" customHeight="1" x14ac:dyDescent="0.2">
      <c r="A50" s="872"/>
      <c r="B50" s="653" t="s">
        <v>183</v>
      </c>
      <c r="C50" s="653"/>
      <c r="D50" s="653"/>
      <c r="E50" s="698"/>
    </row>
    <row r="51" spans="1:5" ht="30.75" customHeight="1" x14ac:dyDescent="0.2">
      <c r="A51" s="872"/>
      <c r="B51" s="653" t="s">
        <v>351</v>
      </c>
      <c r="C51" s="653"/>
      <c r="D51" s="653"/>
      <c r="E51" s="698"/>
    </row>
    <row r="52" spans="1:5" ht="30.75" customHeight="1" thickBot="1" x14ac:dyDescent="0.25">
      <c r="A52" s="873"/>
      <c r="B52" s="874" t="s">
        <v>34</v>
      </c>
      <c r="C52" s="874"/>
      <c r="D52" s="874"/>
      <c r="E52" s="875"/>
    </row>
    <row r="53" spans="1:5" x14ac:dyDescent="0.2">
      <c r="A53" s="89"/>
      <c r="B53" s="3"/>
      <c r="C53" s="88"/>
      <c r="D53" s="88"/>
      <c r="E53" s="88"/>
    </row>
  </sheetData>
  <autoFilter ref="A2:H43" xr:uid="{00000000-0009-0000-0000-000010000000}"/>
  <mergeCells count="31">
    <mergeCell ref="A48:A52"/>
    <mergeCell ref="B47:E47"/>
    <mergeCell ref="C41:C43"/>
    <mergeCell ref="B48:E48"/>
    <mergeCell ref="B49:E49"/>
    <mergeCell ref="B50:E50"/>
    <mergeCell ref="B51:E51"/>
    <mergeCell ref="B41:B43"/>
    <mergeCell ref="B52:E52"/>
    <mergeCell ref="A17:A43"/>
    <mergeCell ref="B46:E46"/>
    <mergeCell ref="B38:B39"/>
    <mergeCell ref="B31:B34"/>
    <mergeCell ref="B28:B30"/>
    <mergeCell ref="B23:B26"/>
    <mergeCell ref="B20:B22"/>
    <mergeCell ref="D1:D2"/>
    <mergeCell ref="E1:E2"/>
    <mergeCell ref="B18:B19"/>
    <mergeCell ref="C1:C2"/>
    <mergeCell ref="A1:A2"/>
    <mergeCell ref="B1:B2"/>
    <mergeCell ref="A3:A5"/>
    <mergeCell ref="A6:A8"/>
    <mergeCell ref="A9:A14"/>
    <mergeCell ref="B12:B14"/>
    <mergeCell ref="B9:B10"/>
    <mergeCell ref="A15:A16"/>
    <mergeCell ref="B15:B16"/>
    <mergeCell ref="B7:B8"/>
    <mergeCell ref="B3:B4"/>
  </mergeCells>
  <dataValidations count="1">
    <dataValidation type="list" allowBlank="1" showInputMessage="1" showErrorMessage="1" sqref="A13:A16 A9 A3 A6 A17" xr:uid="{00000000-0002-0000-1000-000000000000}">
      <formula1>Objetivos</formula1>
    </dataValidation>
  </dataValidations>
  <pageMargins left="0.24" right="0.15" top="0.42" bottom="0.74803149606299213" header="0.25" footer="0.31496062992125984"/>
  <pageSetup paperSize="5"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67"/>
  <sheetViews>
    <sheetView showGridLines="0" view="pageBreakPreview" zoomScale="80" zoomScaleNormal="80" zoomScaleSheetLayoutView="80" workbookViewId="0">
      <selection activeCell="A23" sqref="A23"/>
    </sheetView>
  </sheetViews>
  <sheetFormatPr baseColWidth="10" defaultColWidth="0" defaultRowHeight="12.75" zeroHeight="1" x14ac:dyDescent="0.2"/>
  <cols>
    <col min="1" max="1" width="9.140625" style="1" customWidth="1"/>
    <col min="2" max="2" width="23.85546875" style="1" hidden="1" customWidth="1"/>
    <col min="3" max="3" width="23.85546875" style="86" hidden="1" customWidth="1"/>
    <col min="4" max="4" width="23.85546875" style="1" hidden="1" customWidth="1"/>
    <col min="5" max="5" width="41.5703125" style="1" hidden="1" customWidth="1"/>
    <col min="6" max="6" width="25.140625" style="1" hidden="1" customWidth="1"/>
    <col min="7" max="7" width="21.5703125" style="1" hidden="1" customWidth="1"/>
    <col min="8" max="8" width="17.42578125" style="1" hidden="1" customWidth="1"/>
    <col min="9" max="9" width="19.42578125" style="1" hidden="1" customWidth="1"/>
    <col min="10" max="10" width="10.28515625" style="365" hidden="1" customWidth="1"/>
    <col min="11" max="11" width="19.7109375" style="1" customWidth="1"/>
    <col min="12" max="12" width="26.85546875" style="1" hidden="1" customWidth="1"/>
    <col min="13" max="13" width="47.85546875" style="1" hidden="1" customWidth="1"/>
    <col min="14" max="14" width="25.42578125" style="1" hidden="1" customWidth="1"/>
    <col min="15" max="15" width="17.28515625" style="1" customWidth="1"/>
    <col min="16" max="16" width="19.42578125" style="1" hidden="1" customWidth="1"/>
    <col min="17" max="17" width="38.42578125" style="1" hidden="1" customWidth="1"/>
    <col min="18" max="18" width="21.85546875" style="1" customWidth="1"/>
    <col min="19" max="20" width="24.140625" style="1" hidden="1" customWidth="1"/>
    <col min="21" max="21" width="21" style="1" hidden="1" customWidth="1"/>
    <col min="22" max="22" width="16.7109375" style="1" hidden="1" customWidth="1"/>
    <col min="23" max="23" width="9.140625" style="1" customWidth="1"/>
    <col min="24" max="30" width="21.7109375" style="1" hidden="1" customWidth="1"/>
    <col min="31" max="31" width="46.7109375" style="1" customWidth="1"/>
    <col min="32" max="32" width="32.28515625" style="1" hidden="1" customWidth="1"/>
    <col min="33" max="33" width="19.42578125" style="1" hidden="1" customWidth="1"/>
    <col min="34" max="35" width="24.42578125" style="1" hidden="1" customWidth="1"/>
    <col min="36" max="36" width="60.7109375" style="1" hidden="1" customWidth="1"/>
    <col min="37" max="37" width="15.7109375" style="1" customWidth="1"/>
    <col min="38" max="38" width="19.7109375" style="1" hidden="1" customWidth="1"/>
    <col min="39" max="50" width="9" style="1" customWidth="1"/>
    <col min="51" max="51" width="9.28515625" style="1" customWidth="1"/>
    <col min="52" max="54" width="85.7109375" style="1" hidden="1" customWidth="1"/>
    <col min="55" max="55" width="85.42578125" style="1" hidden="1" customWidth="1"/>
    <col min="56" max="56" width="226" style="1" customWidth="1"/>
    <col min="57" max="57" width="13.42578125" style="1" customWidth="1"/>
    <col min="58" max="58" width="3" style="1" customWidth="1"/>
    <col min="59" max="59" width="24.7109375" style="1" hidden="1" customWidth="1"/>
    <col min="60" max="60" width="21" style="1" hidden="1" customWidth="1"/>
    <col min="61" max="61" width="20.5703125" style="1" hidden="1" customWidth="1"/>
    <col min="62" max="62" width="19.42578125" style="1" hidden="1" customWidth="1"/>
    <col min="63" max="63" width="11.42578125" style="1" hidden="1" customWidth="1"/>
    <col min="64" max="16384" width="11.42578125" style="1" hidden="1"/>
  </cols>
  <sheetData>
    <row r="1" spans="1:62" ht="63.75" customHeight="1" thickBot="1" x14ac:dyDescent="0.25">
      <c r="A1" s="699" t="s">
        <v>1402</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700"/>
      <c r="AO1" s="700"/>
      <c r="AP1" s="700"/>
      <c r="AQ1" s="700"/>
      <c r="AR1" s="700"/>
      <c r="AS1" s="700"/>
      <c r="AT1" s="700"/>
      <c r="AU1" s="700"/>
      <c r="AV1" s="700"/>
      <c r="AW1" s="700"/>
      <c r="AX1" s="701"/>
      <c r="AY1" s="699" t="s">
        <v>1402</v>
      </c>
      <c r="AZ1" s="700"/>
      <c r="BA1" s="700"/>
      <c r="BB1" s="700"/>
      <c r="BC1" s="700"/>
      <c r="BD1" s="700"/>
      <c r="BE1" s="701"/>
      <c r="BH1" s="11"/>
    </row>
    <row r="2" spans="1:62" ht="6.75" hidden="1" customHeight="1" x14ac:dyDescent="0.2">
      <c r="A2" s="520"/>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c r="AK2" s="711"/>
      <c r="AL2" s="711"/>
      <c r="AM2" s="520"/>
      <c r="AN2" s="520"/>
      <c r="AO2" s="520"/>
      <c r="AP2" s="520"/>
      <c r="AQ2" s="520"/>
      <c r="AR2" s="520"/>
      <c r="AS2" s="520"/>
      <c r="AT2" s="520"/>
      <c r="AU2" s="520"/>
      <c r="AV2" s="520"/>
      <c r="AW2" s="520"/>
      <c r="AX2" s="520"/>
      <c r="AY2" s="520"/>
      <c r="AZ2" s="520"/>
      <c r="BA2" s="520"/>
      <c r="BB2" s="520"/>
      <c r="BC2" s="520"/>
      <c r="BD2" s="520"/>
      <c r="BE2" s="520"/>
    </row>
    <row r="3" spans="1:62" ht="15" hidden="1" customHeight="1" x14ac:dyDescent="0.2">
      <c r="A3" s="520"/>
      <c r="B3" s="521" t="s">
        <v>2</v>
      </c>
      <c r="C3" s="522">
        <f>'PAI 2021 - V4'!B3</f>
        <v>44537</v>
      </c>
      <c r="D3" s="523"/>
      <c r="E3" s="523"/>
      <c r="F3" s="523"/>
      <c r="G3" s="523"/>
      <c r="H3" s="523"/>
      <c r="I3" s="523"/>
      <c r="J3" s="524"/>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0"/>
      <c r="AN3" s="520"/>
      <c r="AO3" s="520"/>
      <c r="AP3" s="520"/>
      <c r="AQ3" s="520"/>
      <c r="AR3" s="520"/>
      <c r="AS3" s="520"/>
      <c r="AT3" s="520"/>
      <c r="AU3" s="520"/>
      <c r="AV3" s="520"/>
      <c r="AW3" s="520"/>
      <c r="AX3" s="520"/>
      <c r="AY3" s="520"/>
      <c r="AZ3" s="520"/>
      <c r="BA3" s="520"/>
      <c r="BB3" s="520"/>
      <c r="BC3" s="520"/>
      <c r="BD3" s="520"/>
      <c r="BE3" s="520"/>
    </row>
    <row r="4" spans="1:62" ht="15" hidden="1" customHeight="1" x14ac:dyDescent="0.2">
      <c r="A4" s="520"/>
      <c r="B4" s="521" t="s">
        <v>1</v>
      </c>
      <c r="C4" s="712" t="str">
        <f>'PAI 2021 - V4'!B4</f>
        <v>04 - Se realiza la armonización del plan de acción institucional a la plataforma estratégica adoptada para la entidad mediante resolución 128 de noviembre de 2021. Así mismo, se adelantan ajustes menores en estructura y redacción de las acciones e indicadores descritas en el plan de acción, de acuerdo con las observaciones recibidas en el informe de auditoría al plan de acción institucional, formulado por la Oficina de Control Interno y comunicado mediante Memorando 1104 del 27 de Octubre. Con relación a la estructura del plan, se hace un ajuste en la información asociada a liderazgo estratégico y responsables de medición, dejando solamente el cargo (no el nombre) de quienes cumplen estos roles. Sobre ajustes en las acciones, se realiza la actualización requerida por la Dirección Operativa en el indicador 1.2.1 con el ajuste en la descripción del indicador, el cambio de la meta a un rango del 25% al 40% y se incluye la observación “Se realizará la medición teniendo en cuenta intervalos de cumplimiento del 25% al 40% del presupuesto total asignado a la Dirección Operativa, será asignado a los llamados públicos”; también se ajusta el nombre del indicador 2.2.1 y se ajusta en fórmula, actividades e indicador de gestión la actividad 3.1.1, teniendo en cuenta el alcance de las actividades que se van a desarrollar en dicha acción.
Finalmente, se realiza el ajuste y traslado de la información reportada por las áreas al formato EPLE-FT-017 HOJA DE VIDA DEL INDICADOR, en el cual se incorporan las revisiones indicadas previamente sobre el Plan de Acción institucional.</v>
      </c>
      <c r="D4" s="712"/>
      <c r="E4" s="712"/>
      <c r="F4" s="712"/>
      <c r="G4" s="712"/>
      <c r="H4" s="712"/>
      <c r="I4" s="712"/>
      <c r="J4" s="712"/>
      <c r="K4" s="712"/>
      <c r="L4" s="712"/>
      <c r="M4" s="712"/>
      <c r="N4" s="712"/>
      <c r="O4" s="712"/>
      <c r="P4" s="712"/>
      <c r="Q4" s="712"/>
      <c r="R4" s="523"/>
      <c r="S4" s="523"/>
      <c r="T4" s="523"/>
      <c r="U4" s="523"/>
      <c r="V4" s="523"/>
      <c r="W4" s="523"/>
      <c r="X4" s="523"/>
      <c r="Y4" s="523"/>
      <c r="Z4" s="523"/>
      <c r="AA4" s="523"/>
      <c r="AB4" s="523"/>
      <c r="AC4" s="523"/>
      <c r="AD4" s="523"/>
      <c r="AE4" s="523"/>
      <c r="AF4" s="523"/>
      <c r="AG4" s="523"/>
      <c r="AH4" s="523"/>
      <c r="AI4" s="523"/>
      <c r="AJ4" s="523"/>
      <c r="AK4" s="523"/>
      <c r="AL4" s="523"/>
      <c r="AM4" s="520"/>
      <c r="AN4" s="520"/>
      <c r="AO4" s="520"/>
      <c r="AP4" s="520"/>
      <c r="AQ4" s="520"/>
      <c r="AR4" s="520"/>
      <c r="AS4" s="520"/>
      <c r="AT4" s="520"/>
      <c r="AU4" s="520"/>
      <c r="AV4" s="520"/>
      <c r="AW4" s="520"/>
      <c r="AX4" s="520"/>
      <c r="AY4" s="520"/>
      <c r="AZ4" s="520"/>
      <c r="BA4" s="520"/>
      <c r="BB4" s="520"/>
      <c r="BC4" s="520"/>
      <c r="BD4" s="520"/>
      <c r="BE4" s="520"/>
    </row>
    <row r="5" spans="1:62" ht="6.75" hidden="1" customHeight="1" x14ac:dyDescent="0.2">
      <c r="A5" s="520"/>
      <c r="B5" s="523"/>
      <c r="C5" s="523"/>
      <c r="D5" s="523"/>
      <c r="E5" s="523"/>
      <c r="F5" s="523"/>
      <c r="G5" s="523"/>
      <c r="H5" s="523"/>
      <c r="I5" s="523"/>
      <c r="J5" s="524"/>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0"/>
      <c r="AN5" s="520"/>
      <c r="AO5" s="520"/>
      <c r="AP5" s="520"/>
      <c r="AQ5" s="520"/>
      <c r="AR5" s="520"/>
      <c r="AS5" s="520"/>
      <c r="AT5" s="520"/>
      <c r="AU5" s="520"/>
      <c r="AV5" s="520"/>
      <c r="AW5" s="520"/>
      <c r="AX5" s="520"/>
      <c r="AY5" s="520"/>
      <c r="AZ5" s="520"/>
      <c r="BA5" s="520"/>
      <c r="BB5" s="520"/>
      <c r="BC5" s="520"/>
      <c r="BD5" s="520"/>
      <c r="BE5" s="520"/>
    </row>
    <row r="6" spans="1:62" ht="15" hidden="1" customHeight="1" x14ac:dyDescent="0.2">
      <c r="A6" s="714" t="s">
        <v>3</v>
      </c>
      <c r="B6" s="714"/>
      <c r="C6" s="714"/>
      <c r="D6" s="714"/>
      <c r="E6" s="714"/>
      <c r="F6" s="714"/>
      <c r="G6" s="714"/>
      <c r="H6" s="714"/>
      <c r="I6" s="714"/>
      <c r="J6" s="713" t="s">
        <v>4</v>
      </c>
      <c r="K6" s="713"/>
      <c r="L6" s="713"/>
      <c r="M6" s="713"/>
      <c r="N6" s="713"/>
      <c r="O6" s="713"/>
      <c r="P6" s="713"/>
      <c r="Q6" s="713"/>
      <c r="R6" s="713"/>
      <c r="S6" s="713"/>
      <c r="T6" s="713"/>
      <c r="U6" s="713"/>
      <c r="V6" s="713"/>
      <c r="W6" s="713"/>
      <c r="X6" s="713"/>
      <c r="Y6" s="713"/>
      <c r="Z6" s="713"/>
      <c r="AA6" s="713"/>
      <c r="AB6" s="713"/>
      <c r="AC6" s="713"/>
      <c r="AD6" s="713"/>
      <c r="AE6" s="713"/>
      <c r="AF6" s="713"/>
      <c r="AG6" s="713"/>
      <c r="AH6" s="713"/>
      <c r="AI6" s="713"/>
      <c r="AJ6" s="713"/>
      <c r="AK6" s="713"/>
      <c r="AL6" s="713"/>
      <c r="AO6" s="9" t="s">
        <v>5</v>
      </c>
      <c r="AR6" s="9" t="s">
        <v>5</v>
      </c>
      <c r="AU6" s="9" t="s">
        <v>5</v>
      </c>
      <c r="AX6" s="9" t="s">
        <v>5</v>
      </c>
      <c r="AY6" s="9"/>
    </row>
    <row r="7" spans="1:62" s="381" customFormat="1" ht="15" hidden="1" customHeight="1" thickBot="1" x14ac:dyDescent="0.3">
      <c r="A7" s="517">
        <v>1</v>
      </c>
      <c r="B7" s="517">
        <v>2</v>
      </c>
      <c r="C7" s="517">
        <v>3</v>
      </c>
      <c r="D7" s="517">
        <v>4</v>
      </c>
      <c r="E7" s="517">
        <v>5</v>
      </c>
      <c r="F7" s="517">
        <v>6</v>
      </c>
      <c r="G7" s="517">
        <v>7</v>
      </c>
      <c r="H7" s="517">
        <v>8</v>
      </c>
      <c r="I7" s="517">
        <v>9</v>
      </c>
      <c r="J7" s="517">
        <v>10</v>
      </c>
      <c r="K7" s="517">
        <v>11</v>
      </c>
      <c r="L7" s="517">
        <v>12</v>
      </c>
      <c r="M7" s="517">
        <v>13</v>
      </c>
      <c r="N7" s="517">
        <v>14</v>
      </c>
      <c r="O7" s="517">
        <v>15</v>
      </c>
      <c r="P7" s="517">
        <v>16</v>
      </c>
      <c r="Q7" s="517">
        <v>17</v>
      </c>
      <c r="R7" s="517">
        <v>18</v>
      </c>
      <c r="S7" s="517">
        <v>19</v>
      </c>
      <c r="T7" s="517">
        <v>20</v>
      </c>
      <c r="U7" s="517">
        <v>21</v>
      </c>
      <c r="V7" s="517">
        <v>22</v>
      </c>
      <c r="W7" s="517">
        <v>23</v>
      </c>
      <c r="X7" s="517">
        <v>24</v>
      </c>
      <c r="Y7" s="517">
        <v>25</v>
      </c>
      <c r="Z7" s="517">
        <v>26</v>
      </c>
      <c r="AA7" s="517">
        <v>27</v>
      </c>
      <c r="AB7" s="517">
        <v>28</v>
      </c>
      <c r="AC7" s="517">
        <v>29</v>
      </c>
      <c r="AD7" s="517">
        <v>30</v>
      </c>
      <c r="AE7" s="517">
        <v>31</v>
      </c>
      <c r="AF7" s="517">
        <v>32</v>
      </c>
      <c r="AG7" s="517">
        <v>33</v>
      </c>
      <c r="AH7" s="517">
        <v>34</v>
      </c>
      <c r="AI7" s="517">
        <v>35</v>
      </c>
      <c r="AJ7" s="517">
        <v>36</v>
      </c>
      <c r="AK7" s="517">
        <v>37</v>
      </c>
      <c r="AL7" s="517">
        <v>38</v>
      </c>
      <c r="AO7" s="382"/>
      <c r="AR7" s="382"/>
      <c r="AU7" s="382"/>
      <c r="AX7" s="382"/>
      <c r="AY7" s="382"/>
    </row>
    <row r="8" spans="1:62" ht="18" customHeight="1" x14ac:dyDescent="0.2">
      <c r="A8" s="628" t="s">
        <v>783</v>
      </c>
      <c r="B8" s="630" t="s">
        <v>6</v>
      </c>
      <c r="C8" s="630" t="s">
        <v>7</v>
      </c>
      <c r="D8" s="630" t="s">
        <v>8</v>
      </c>
      <c r="E8" s="630" t="s">
        <v>9</v>
      </c>
      <c r="F8" s="630" t="s">
        <v>10</v>
      </c>
      <c r="G8" s="634" t="s">
        <v>11</v>
      </c>
      <c r="H8" s="630" t="s">
        <v>12</v>
      </c>
      <c r="I8" s="630" t="s">
        <v>13</v>
      </c>
      <c r="J8" s="630" t="s">
        <v>783</v>
      </c>
      <c r="K8" s="634" t="s">
        <v>14</v>
      </c>
      <c r="L8" s="596"/>
      <c r="M8" s="630" t="s">
        <v>15</v>
      </c>
      <c r="N8" s="630" t="s">
        <v>16</v>
      </c>
      <c r="O8" s="630" t="s">
        <v>17</v>
      </c>
      <c r="P8" s="630" t="s">
        <v>18</v>
      </c>
      <c r="Q8" s="634" t="s">
        <v>19</v>
      </c>
      <c r="R8" s="630" t="s">
        <v>20</v>
      </c>
      <c r="S8" s="630" t="s">
        <v>925</v>
      </c>
      <c r="T8" s="630" t="s">
        <v>926</v>
      </c>
      <c r="U8" s="634" t="s">
        <v>21</v>
      </c>
      <c r="V8" s="634" t="s">
        <v>22</v>
      </c>
      <c r="W8" s="634" t="s">
        <v>23</v>
      </c>
      <c r="X8" s="634"/>
      <c r="Y8" s="634"/>
      <c r="Z8" s="634"/>
      <c r="AA8" s="634" t="s">
        <v>24</v>
      </c>
      <c r="AB8" s="634"/>
      <c r="AC8" s="634"/>
      <c r="AD8" s="634"/>
      <c r="AE8" s="634" t="s">
        <v>25</v>
      </c>
      <c r="AF8" s="634" t="s">
        <v>26</v>
      </c>
      <c r="AG8" s="630" t="s">
        <v>27</v>
      </c>
      <c r="AH8" s="634" t="s">
        <v>21</v>
      </c>
      <c r="AI8" s="634" t="s">
        <v>28</v>
      </c>
      <c r="AJ8" s="634" t="s">
        <v>29</v>
      </c>
      <c r="AK8" s="630" t="s">
        <v>30</v>
      </c>
      <c r="AL8" s="883" t="s">
        <v>31</v>
      </c>
      <c r="AM8" s="644" t="s">
        <v>969</v>
      </c>
      <c r="AN8" s="634"/>
      <c r="AO8" s="634"/>
      <c r="AP8" s="634"/>
      <c r="AQ8" s="634"/>
      <c r="AR8" s="634"/>
      <c r="AS8" s="634"/>
      <c r="AT8" s="634"/>
      <c r="AU8" s="634"/>
      <c r="AV8" s="634"/>
      <c r="AW8" s="634"/>
      <c r="AX8" s="645"/>
      <c r="AY8" s="649" t="s">
        <v>783</v>
      </c>
      <c r="AZ8" s="597" t="s">
        <v>1228</v>
      </c>
      <c r="BA8" s="878"/>
      <c r="BB8" s="878"/>
      <c r="BC8" s="878"/>
      <c r="BD8" s="883" t="s">
        <v>1403</v>
      </c>
      <c r="BE8" s="649" t="s">
        <v>1003</v>
      </c>
      <c r="BG8" s="721" t="s">
        <v>1074</v>
      </c>
      <c r="BH8" s="721"/>
      <c r="BI8" s="721"/>
      <c r="BJ8" s="721"/>
    </row>
    <row r="9" spans="1:62" ht="18" customHeight="1" thickBot="1" x14ac:dyDescent="0.25">
      <c r="A9" s="629"/>
      <c r="B9" s="631"/>
      <c r="C9" s="631"/>
      <c r="D9" s="631"/>
      <c r="E9" s="631"/>
      <c r="F9" s="631"/>
      <c r="G9" s="635"/>
      <c r="H9" s="631"/>
      <c r="I9" s="631"/>
      <c r="J9" s="631"/>
      <c r="K9" s="635"/>
      <c r="L9" s="598"/>
      <c r="M9" s="631"/>
      <c r="N9" s="631"/>
      <c r="O9" s="631"/>
      <c r="P9" s="631"/>
      <c r="Q9" s="635"/>
      <c r="R9" s="631"/>
      <c r="S9" s="631"/>
      <c r="T9" s="631"/>
      <c r="U9" s="635"/>
      <c r="V9" s="635"/>
      <c r="W9" s="598">
        <v>2021</v>
      </c>
      <c r="X9" s="598">
        <v>2022</v>
      </c>
      <c r="Y9" s="598">
        <v>2023</v>
      </c>
      <c r="Z9" s="598">
        <v>2024</v>
      </c>
      <c r="AA9" s="598">
        <v>2021</v>
      </c>
      <c r="AB9" s="598">
        <v>2022</v>
      </c>
      <c r="AC9" s="598">
        <v>2023</v>
      </c>
      <c r="AD9" s="598">
        <v>2024</v>
      </c>
      <c r="AE9" s="635"/>
      <c r="AF9" s="635"/>
      <c r="AG9" s="631"/>
      <c r="AH9" s="635"/>
      <c r="AI9" s="635"/>
      <c r="AJ9" s="635"/>
      <c r="AK9" s="631"/>
      <c r="AL9" s="884"/>
      <c r="AM9" s="601" t="s">
        <v>1464</v>
      </c>
      <c r="AN9" s="599" t="s">
        <v>1465</v>
      </c>
      <c r="AO9" s="599" t="s">
        <v>1466</v>
      </c>
      <c r="AP9" s="599" t="s">
        <v>1467</v>
      </c>
      <c r="AQ9" s="599" t="s">
        <v>1468</v>
      </c>
      <c r="AR9" s="599" t="s">
        <v>1469</v>
      </c>
      <c r="AS9" s="599" t="s">
        <v>1470</v>
      </c>
      <c r="AT9" s="599" t="s">
        <v>1471</v>
      </c>
      <c r="AU9" s="599" t="s">
        <v>1472</v>
      </c>
      <c r="AV9" s="599" t="s">
        <v>1473</v>
      </c>
      <c r="AW9" s="599" t="s">
        <v>1474</v>
      </c>
      <c r="AX9" s="600" t="s">
        <v>1475</v>
      </c>
      <c r="AY9" s="650"/>
      <c r="AZ9" s="879" t="s">
        <v>1301</v>
      </c>
      <c r="BA9" s="599" t="s">
        <v>1302</v>
      </c>
      <c r="BB9" s="599" t="s">
        <v>1303</v>
      </c>
      <c r="BC9" s="599" t="s">
        <v>1379</v>
      </c>
      <c r="BD9" s="884"/>
      <c r="BE9" s="650"/>
      <c r="BG9" s="434" t="s">
        <v>1070</v>
      </c>
      <c r="BH9" s="434" t="s">
        <v>1071</v>
      </c>
      <c r="BI9" s="434" t="s">
        <v>1072</v>
      </c>
      <c r="BJ9" s="434" t="s">
        <v>1073</v>
      </c>
    </row>
    <row r="10" spans="1:62" s="11" customFormat="1" ht="143.25" customHeight="1" x14ac:dyDescent="0.2">
      <c r="A10" s="890" t="str">
        <f>+'PAI 2021 - V4'!I9</f>
        <v>5.1.1</v>
      </c>
      <c r="B10" s="586" t="str">
        <f>+'PAI 2021 - V4'!A9</f>
        <v>3. Salud y bienestar.
16. Paz, justicia e instituciones sólidas.</v>
      </c>
      <c r="C10" s="586" t="str">
        <f>+'PAI 2021 - V4'!B9</f>
        <v>Propósito 1
Logro de ciudad: 3 - 5
Propósito 5
Logro de ciudad: 30</v>
      </c>
      <c r="D10" s="586" t="str">
        <f>+'PAI 2021 - V4'!C9</f>
        <v>Gestión del conocimiento y la innovación.</v>
      </c>
      <c r="E10" s="586" t="str">
        <f>+'PAI 2021 - V4'!D9</f>
        <v>05 - Fortalecer la capacidad organizacional de Capital para ser una empresa transparente, eficiente y sostenible.</v>
      </c>
      <c r="F10" s="586" t="str">
        <f>+'PAI 2021 - V4'!E9</f>
        <v>5.1. Adopción del enfoque integral gestión del conocimiento de Capital</v>
      </c>
      <c r="G10" s="586" t="str">
        <f>+'PAI 2021 - V4'!F9</f>
        <v>Implementar 1 estrategia de gestión del conocimiento.</v>
      </c>
      <c r="H10" s="586" t="str">
        <f>+'PAI 2021 - V4'!G9</f>
        <v>Número de estrategias desarrolladas</v>
      </c>
      <c r="I10" s="586" t="str">
        <f>+'PAI 2021 - V4'!H9</f>
        <v>1 Eficacia: (cumplimiento de metas)</v>
      </c>
      <c r="J10" s="608" t="str">
        <f>+'PAI 2021 - V4'!I9</f>
        <v>5.1.1</v>
      </c>
      <c r="K10" s="608" t="str">
        <f>+'PAI 2021 - V4'!J9</f>
        <v>Impulso y apropiación de herramientas de lecciones aprendidas.</v>
      </c>
      <c r="L10" s="608" t="str">
        <f>CONCATENATE(J10," ",K10)</f>
        <v>5.1.1 Impulso y apropiación de herramientas de lecciones aprendidas.</v>
      </c>
      <c r="M10" s="608" t="str">
        <f>+'PAI 2021 - V4'!K9</f>
        <v>Posicionar al interior de Capital la cultura de gestión del conocimiento</v>
      </c>
      <c r="N10" s="608" t="str">
        <f>+'PAI 2021 - V4'!L9</f>
        <v>Lecciones aprendidas consolidadas a nivel interno.</v>
      </c>
      <c r="O10" s="608" t="str">
        <f>+'PAI 2021 - V4'!M9</f>
        <v>Número de lecciones aprendidas consolidadas.</v>
      </c>
      <c r="P10" s="608" t="str">
        <f>+'PAI 2021 - V4'!N9</f>
        <v>1 Eficacia: (cumplimiento de metas)</v>
      </c>
      <c r="Q10" s="608" t="str">
        <f>+'PAI 2021 - V4'!O9</f>
        <v>Medir la cantidad de lecciones aprendidas que se consolidan en la herramienta.</v>
      </c>
      <c r="R10" s="587" t="str">
        <f>+'PAI 2021 - V4'!P9</f>
        <v>Lecciones aprendidas documentadas / Lecciones aprendidas identificadas para documentar.</v>
      </c>
      <c r="S10" s="608" t="s">
        <v>869</v>
      </c>
      <c r="T10" s="587" t="s">
        <v>1075</v>
      </c>
      <c r="U10" s="608" t="str">
        <f>+'PAI 2021 - V4'!Q9</f>
        <v>Número (#).</v>
      </c>
      <c r="V10" s="608">
        <f>+'PAI 2021 - V4'!R9</f>
        <v>1</v>
      </c>
      <c r="W10" s="594">
        <f>+'PAI 2021 - V4'!S9</f>
        <v>2</v>
      </c>
      <c r="X10" s="608">
        <f>+'PAI 2021 - V4'!T9</f>
        <v>2</v>
      </c>
      <c r="Y10" s="608">
        <f>+'PAI 2021 - V4'!U9</f>
        <v>3</v>
      </c>
      <c r="Z10" s="608">
        <f>+'PAI 2021 - V4'!V9</f>
        <v>3</v>
      </c>
      <c r="AA10" s="608" t="str">
        <f>+'PAI 2021 - V4'!W9</f>
        <v>-</v>
      </c>
      <c r="AB10" s="608" t="str">
        <f>+'PAI 2021 - V4'!X9</f>
        <v>-</v>
      </c>
      <c r="AC10" s="608" t="str">
        <f>+'PAI 2021 - V4'!Y9</f>
        <v>-</v>
      </c>
      <c r="AD10" s="608" t="str">
        <f>+'PAI 2021 - V4'!Z9</f>
        <v>-</v>
      </c>
      <c r="AE10" s="608" t="str">
        <f>+'PAI 2021 - V4'!AA9</f>
        <v>1. Definición de los proyectos a los cuales se les documentará lecciones aprendidas. (15%)
2. Elaboración de los documentos de lecciones aprendidas. (60%)
3. Presentación de resultados. (25%)</v>
      </c>
      <c r="AF10" s="608" t="str">
        <f>+'PAI 2021 - V4'!AB9</f>
        <v>Cumplimiento de las actividades de gestión, según su ponderación.</v>
      </c>
      <c r="AG10" s="608" t="str">
        <f>+'PAI 2021 - V4'!AC9</f>
        <v>2 Eficiencia: (uso de los recursos)</v>
      </c>
      <c r="AH10" s="608" t="str">
        <f>+'PAI 2021 - V4'!AD9</f>
        <v>Porcentaje (%)</v>
      </c>
      <c r="AI10" s="608" t="str">
        <f>+'PAI 2021 - V4'!AE9</f>
        <v>Trimestral.</v>
      </c>
      <c r="AJ10" s="608" t="str">
        <f>+'PAI 2021 - V4'!AF9</f>
        <v>No aplica.</v>
      </c>
      <c r="AK10" s="594" t="str">
        <f>+'PAI 2021 - V4'!AG9</f>
        <v>Asesora de planeación.</v>
      </c>
      <c r="AL10" s="898" t="str">
        <f>+'PAI 2021 - V4'!AH9</f>
        <v>Profesional de apoyo de Planeación.</v>
      </c>
      <c r="AM10" s="901">
        <f>((0.7*1)+(0*1))/2</f>
        <v>0.35</v>
      </c>
      <c r="AN10" s="710"/>
      <c r="AO10" s="710"/>
      <c r="AP10" s="710">
        <f>((0.7*1)+(0.8*1))/2</f>
        <v>0.75</v>
      </c>
      <c r="AQ10" s="710"/>
      <c r="AR10" s="710"/>
      <c r="AS10" s="710">
        <f>2/2</f>
        <v>1</v>
      </c>
      <c r="AT10" s="710"/>
      <c r="AU10" s="710"/>
      <c r="AV10" s="710">
        <f>2/2</f>
        <v>1</v>
      </c>
      <c r="AW10" s="710"/>
      <c r="AX10" s="902"/>
      <c r="AY10" s="882" t="str">
        <f>A10</f>
        <v>5.1.1</v>
      </c>
      <c r="AZ10" s="880" t="s">
        <v>1322</v>
      </c>
      <c r="BA10" s="591" t="s">
        <v>1404</v>
      </c>
      <c r="BB10" s="591" t="s">
        <v>1405</v>
      </c>
      <c r="BC10" s="591" t="s">
        <v>1406</v>
      </c>
      <c r="BD10" s="885" t="s">
        <v>1503</v>
      </c>
      <c r="BE10" s="887" t="s">
        <v>1006</v>
      </c>
      <c r="BF10" s="433"/>
      <c r="BG10" s="407"/>
      <c r="BH10" s="407"/>
      <c r="BI10" s="407"/>
      <c r="BJ10" s="407"/>
    </row>
    <row r="11" spans="1:62" s="27" customFormat="1" ht="208.5" customHeight="1" x14ac:dyDescent="0.2">
      <c r="A11" s="12" t="str">
        <f>+'PAI 2021 - V4'!I10</f>
        <v>5.1.2</v>
      </c>
      <c r="B11" s="593" t="str">
        <f>+'PAI 2021 - V4'!A9</f>
        <v>3. Salud y bienestar.
16. Paz, justicia e instituciones sólidas.</v>
      </c>
      <c r="C11" s="593" t="str">
        <f>+'PAI 2021 - V4'!B9</f>
        <v>Propósito 1
Logro de ciudad: 3 - 5
Propósito 5
Logro de ciudad: 30</v>
      </c>
      <c r="D11" s="593" t="str">
        <f>+'PAI 2021 - V4'!C9</f>
        <v>Gestión del conocimiento y la innovación.</v>
      </c>
      <c r="E11" s="593" t="str">
        <f>+'PAI 2021 - V4'!D9</f>
        <v>05 - Fortalecer la capacidad organizacional de Capital para ser una empresa transparente, eficiente y sostenible.</v>
      </c>
      <c r="F11" s="593" t="str">
        <f>+'PAI 2021 - V4'!E9</f>
        <v>5.1. Adopción del enfoque integral gestión del conocimiento de Capital</v>
      </c>
      <c r="G11" s="593" t="str">
        <f>+'PAI 2021 - V4'!F9</f>
        <v>Implementar 1 estrategia de gestión del conocimiento.</v>
      </c>
      <c r="H11" s="593" t="str">
        <f>+'PAI 2021 - V4'!G9</f>
        <v>Número de estrategias desarrolladas</v>
      </c>
      <c r="I11" s="593" t="str">
        <f>+'PAI 2021 - V4'!H9</f>
        <v>1 Eficacia: (cumplimiento de metas)</v>
      </c>
      <c r="J11" s="588" t="str">
        <f>+'PAI 2021 - V4'!I10</f>
        <v>5.1.2</v>
      </c>
      <c r="K11" s="588" t="str">
        <f>+'PAI 2021 - V4'!J10</f>
        <v>Plan Institucional de Capacitación - PIC</v>
      </c>
      <c r="L11" s="588" t="str">
        <f t="shared" ref="L11:L57" si="0">CONCATENATE(J11," ",K11)</f>
        <v>5.1.2 Plan Institucional de Capacitación - PIC</v>
      </c>
      <c r="M11" s="588" t="str">
        <f>+'PAI 2021 - V4'!K10</f>
        <v>Fomentar espacios de difusión del conocimiento interno, encaminados a fortalecer las competencias individuales y colectivas de los colaboradores, generando mejores prácticas de gestión. (Anexo 2).</v>
      </c>
      <c r="N11" s="588" t="str">
        <f>+'PAI 2021 - V4'!L10</f>
        <v>Documento escrito del plan de Institucional de Capacitación</v>
      </c>
      <c r="O11" s="515" t="str">
        <f>+'PAI 2021 - V4'!M10</f>
        <v>Porcentaje de avance en la implementación del plan institucional de capacitación</v>
      </c>
      <c r="P11" s="588" t="str">
        <f>+'PAI 2021 - V4'!N10</f>
        <v>1 Eficacia: (cumplimiento de metas)</v>
      </c>
      <c r="Q11" s="588" t="str">
        <f>+'PAI 2021 - V4'!O10</f>
        <v>Realizar el seguimiento al cumplimiento de las acciones definidas en el Plan Institucional de Capacitación de la vigencia 2021.</v>
      </c>
      <c r="R11" s="588" t="str">
        <f>+'PAI 2021 - V4'!P10</f>
        <v>(Porcentaje de avances en el cumplimiento de las acciones programadas en el Plan Institucional de Capacitación / Porcentaje programado de cumplimiento del Plan Institucional de Capacitación para la vigencia)*100%.</v>
      </c>
      <c r="S11" s="595" t="s">
        <v>870</v>
      </c>
      <c r="T11" s="595" t="s">
        <v>872</v>
      </c>
      <c r="U11" s="588" t="str">
        <f>+'PAI 2021 - V4'!Q10</f>
        <v>Porcentaje (%).</v>
      </c>
      <c r="V11" s="588" t="str">
        <f>+'PAI 2021 - V4'!R10</f>
        <v>No aplica.</v>
      </c>
      <c r="W11" s="442">
        <f>+'PAI 2021 - V4'!S10</f>
        <v>0.91</v>
      </c>
      <c r="X11" s="400">
        <f>+'PAI 2021 - V4'!T10</f>
        <v>0.91</v>
      </c>
      <c r="Y11" s="400">
        <f>+'PAI 2021 - V4'!U10</f>
        <v>0.91</v>
      </c>
      <c r="Z11" s="400">
        <f>+'PAI 2021 - V4'!V10</f>
        <v>0.91</v>
      </c>
      <c r="AA11" s="401">
        <f>+'PAI 2021 - V4'!W10</f>
        <v>26840770</v>
      </c>
      <c r="AB11" s="401">
        <f>+'PAI 2021 - V4'!X10</f>
        <v>27645993.100000001</v>
      </c>
      <c r="AC11" s="401">
        <f>+'PAI 2021 - V4'!Y10</f>
        <v>28475372.893000003</v>
      </c>
      <c r="AD11" s="401">
        <f>+'PAI 2021 - V4'!Z10</f>
        <v>29329634.079790004</v>
      </c>
      <c r="AE11" s="588" t="str">
        <f>+'PAI 2021 - V4'!AA10</f>
        <v>1. Planificación (20%) - Identificación de necesidades de capacitación y potencialidades de difusión de conocimiento en las áreas de la entidad.
2. Ejecución (50%) - Elaboración y desarrollo de los eventos de capacitación y formación, según lo planificado.
3. Seguimiento al cumplimiento(20%) - Registro y memorias de las jornadas de capacitación y formación, evaluación de las jornadas.
4. Análisis y mejoramiento (10%) - Análisis de cumplimiento de expectativas, participación y lecciones aprendidas de las jornadas.</v>
      </c>
      <c r="AF11" s="588" t="str">
        <f>+'PAI 2021 - V4'!AB10</f>
        <v>Cumplimiento de las actividades de gestión, según su ponderación.</v>
      </c>
      <c r="AG11" s="588" t="str">
        <f>+'PAI 2021 - V4'!AC10</f>
        <v>2 Eficiencia: (uso de los recursos)</v>
      </c>
      <c r="AH11" s="588" t="str">
        <f>+'PAI 2021 - V4'!AD10</f>
        <v>Porcentaje (%)</v>
      </c>
      <c r="AI11" s="588" t="str">
        <f>+'PAI 2021 - V4'!AE10</f>
        <v>Trimestral.</v>
      </c>
      <c r="AJ11" s="588" t="str">
        <f>+'PAI 2021 - V4'!AF10</f>
        <v>No aplica.</v>
      </c>
      <c r="AK11" s="306" t="str">
        <f>+'PAI 2021 - V4'!AG10</f>
        <v>Subdirectora Administrativa</v>
      </c>
      <c r="AL11" s="899" t="str">
        <f>+'PAI 2021 - V4'!AH10</f>
        <v>Profesional de Recursos Humanos</v>
      </c>
      <c r="AM11" s="903">
        <v>6</v>
      </c>
      <c r="AN11" s="709"/>
      <c r="AO11" s="709"/>
      <c r="AP11" s="702">
        <f>120/100</f>
        <v>1.2</v>
      </c>
      <c r="AQ11" s="702"/>
      <c r="AR11" s="702"/>
      <c r="AS11" s="702">
        <f>106/100</f>
        <v>1.06</v>
      </c>
      <c r="AT11" s="702"/>
      <c r="AU11" s="702"/>
      <c r="AV11" s="702">
        <f>166/100</f>
        <v>1.66</v>
      </c>
      <c r="AW11" s="702"/>
      <c r="AX11" s="904"/>
      <c r="AY11" s="366" t="str">
        <f t="shared" ref="AY11:AY57" si="1">A11</f>
        <v>5.1.2</v>
      </c>
      <c r="AZ11" s="389" t="s">
        <v>993</v>
      </c>
      <c r="BA11" s="592" t="s">
        <v>1224</v>
      </c>
      <c r="BB11" s="592" t="s">
        <v>1316</v>
      </c>
      <c r="BC11" s="592" t="s">
        <v>1384</v>
      </c>
      <c r="BD11" s="886" t="s">
        <v>1504</v>
      </c>
      <c r="BE11" s="888" t="s">
        <v>1006</v>
      </c>
      <c r="BG11" s="407" t="s">
        <v>1045</v>
      </c>
      <c r="BH11" s="407" t="s">
        <v>1025</v>
      </c>
      <c r="BI11" s="407" t="s">
        <v>1026</v>
      </c>
      <c r="BJ11" s="432" t="s">
        <v>1023</v>
      </c>
    </row>
    <row r="12" spans="1:62" ht="371.25" customHeight="1" x14ac:dyDescent="0.2">
      <c r="A12" s="12" t="str">
        <f>+'PAI 2021 - V4'!I11</f>
        <v>5.2.1</v>
      </c>
      <c r="B12" s="593" t="str">
        <f>+'PAI 2021 - V4'!A11</f>
        <v>16. Paz, justicia e instituciones sólidas.</v>
      </c>
      <c r="C12" s="593" t="str">
        <f>+'PAI 2021 - V4'!B11</f>
        <v>Propósito 5 
Logro de ciudad: 30</v>
      </c>
      <c r="D12" s="593" t="str">
        <f>+'PAI 2021 - V4'!C11</f>
        <v>Planeación estratégica.
Seguimiento y evaluación del desempeño institucional</v>
      </c>
      <c r="E12" s="593" t="str">
        <f>+'PAI 2021 - V4'!D11</f>
        <v>05 - Fortalecer la capacidad organizacional de Capital para ser una empresa transparente, eficiente y sostenible.</v>
      </c>
      <c r="F12" s="593" t="str">
        <f>+'PAI 2021 - V4'!E11</f>
        <v>5.2. Fortalecimiento de la cultura de la planeación</v>
      </c>
      <c r="G12" s="593" t="str">
        <f>+'PAI 2021 - V4'!F11</f>
        <v>Lograr niveles de cumplimiento superiores al 95% en la implementación del Plan de Fortalecimiento institucional.</v>
      </c>
      <c r="H12" s="593" t="str">
        <f>+'PAI 2021 - V4'!G11</f>
        <v>Promedio de implementación de resultados del plan de fortalecimiento para las vigencias de medición.</v>
      </c>
      <c r="I12" s="593" t="str">
        <f>+'PAI 2021 - V4'!H11</f>
        <v>2 Eficiencia: (uso de los recursos)</v>
      </c>
      <c r="J12" s="588" t="str">
        <f>+'PAI 2021 - V4'!I11</f>
        <v>5.2.1</v>
      </c>
      <c r="K12" s="588" t="str">
        <f>+'PAI 2021 - V4'!J11</f>
        <v>Plan de Fortalecimiento Institucional - PFI</v>
      </c>
      <c r="L12" s="588" t="str">
        <f t="shared" si="0"/>
        <v>5.2.1 Plan de Fortalecimiento Institucional - PFI</v>
      </c>
      <c r="M12" s="588" t="str">
        <f>+'PAI 2021 - V4'!K11</f>
        <v>Hacer seguimiento a la implementación de las acciones definidas para el cumplimiento del Modelo Integrado de Planeación y Gestión - MIPG, a través del Plan de Fortalecimiento Institucional - PFI. (Anexo 1).</v>
      </c>
      <c r="N12" s="588" t="str">
        <f>+'PAI 2021 - V4'!L11</f>
        <v>Seguimientos realizados al Plan de Fortalecimiento Institucional - PFI</v>
      </c>
      <c r="O12" s="588" t="str">
        <f>+'PAI 2021 - V4'!M11</f>
        <v>Porcentaje de cumplimiento de los resultados del plan de fortalecimiento institucional.</v>
      </c>
      <c r="P12" s="588" t="str">
        <f>+'PAI 2021 - V4'!N11</f>
        <v>2 Eficiencia: (uso de los recursos)</v>
      </c>
      <c r="Q12" s="515" t="str">
        <f>+'PAI 2021 - V4'!O11</f>
        <v>Realizar seguimientos sobre los avances mensuales a los resultados del plan de fortalecimiento institucional, con el fin de cumplir los requisitos de implementación y mantenimiento del Modelo Integrado de Planeación y Gestión - MIPG.</v>
      </c>
      <c r="R12" s="588" t="str">
        <f>+'PAI 2021 - V4'!P11</f>
        <v>Porcentaje de avances ejecutado para el mes / Porcentaje de avances programado para el mes</v>
      </c>
      <c r="S12" s="588" t="s">
        <v>966</v>
      </c>
      <c r="T12" s="588" t="s">
        <v>967</v>
      </c>
      <c r="U12" s="588" t="str">
        <f>+'PAI 2021 - V4'!Q11</f>
        <v>Porcentaje (%).</v>
      </c>
      <c r="V12" s="402">
        <f>+'PAI 2021 - V4'!R11</f>
        <v>0.95440000000000003</v>
      </c>
      <c r="W12" s="442">
        <f>+'PAI 2021 - V4'!S11</f>
        <v>0.95</v>
      </c>
      <c r="X12" s="400">
        <f>+'PAI 2021 - V4'!T11</f>
        <v>0.95</v>
      </c>
      <c r="Y12" s="400">
        <f>+'PAI 2021 - V4'!U11</f>
        <v>0.95</v>
      </c>
      <c r="Z12" s="400">
        <f>+'PAI 2021 - V4'!V11</f>
        <v>0.95</v>
      </c>
      <c r="AA12" s="588" t="str">
        <f>+'PAI 2021 - V4'!W11</f>
        <v>-</v>
      </c>
      <c r="AB12" s="588" t="str">
        <f>+'PAI 2021 - V4'!X11</f>
        <v>-</v>
      </c>
      <c r="AC12" s="588" t="str">
        <f>+'PAI 2021 - V4'!Y11</f>
        <v>-</v>
      </c>
      <c r="AD12" s="588" t="str">
        <f>+'PAI 2021 - V4'!Z11</f>
        <v>-</v>
      </c>
      <c r="AE12" s="588" t="str">
        <f>+'PAI 2021 - V4'!AA11</f>
        <v>1. Mensualmente adelantar seguimiento a los resultados del PFI para reporte al SPI.
2. Trimestralmente consolidar el avance para el reporte a proyectos de inversión en SEGPLAN.
3. Socializar los resultados del plan de fortalecimiento en las reuniones del equipo transversal.</v>
      </c>
      <c r="AF12" s="588" t="str">
        <f>+'PAI 2021 - V4'!AB11</f>
        <v>1. Número de seguimientos realizados al PFI / 12
2. Número de reportes de avances consolidados / 4
3. Número de socializaciones del plan de fortalecimiento / número de sesiones del equipo transversal del MIPG.</v>
      </c>
      <c r="AG12" s="588" t="str">
        <f>+'PAI 2021 - V4'!AC11</f>
        <v>2 Eficiencia: (uso de los recursos)</v>
      </c>
      <c r="AH12" s="588" t="str">
        <f>+'PAI 2021 - V4'!AD11</f>
        <v>Porcentaje (%)</v>
      </c>
      <c r="AI12" s="588" t="str">
        <f>+'PAI 2021 - V4'!AE11</f>
        <v>Mensual.</v>
      </c>
      <c r="AJ12" s="588" t="str">
        <f>+'PAI 2021 - V4'!AF11</f>
        <v>No aplica.</v>
      </c>
      <c r="AK12" s="306" t="str">
        <f>+'PAI 2021 - V4'!AG11</f>
        <v>Asesora de planeación.</v>
      </c>
      <c r="AL12" s="899" t="str">
        <f>+'PAI 2021 - V4'!AH11</f>
        <v>Profesional de apoyo de Planeación.</v>
      </c>
      <c r="AM12" s="905">
        <f>0.83%/0.83%</f>
        <v>1</v>
      </c>
      <c r="AN12" s="604">
        <f>3.65%/4.11%</f>
        <v>0.88807785888077839</v>
      </c>
      <c r="AO12" s="604">
        <f>12.58%/13.16%</f>
        <v>0.95592705167173253</v>
      </c>
      <c r="AP12" s="604">
        <f>28.57/29.35</f>
        <v>0.97342419080068143</v>
      </c>
      <c r="AQ12" s="604">
        <f>38.44/40.6</f>
        <v>0.94679802955665016</v>
      </c>
      <c r="AR12" s="604">
        <f>53.76/54.61</f>
        <v>0.98443508514924005</v>
      </c>
      <c r="AS12" s="604">
        <f>64.16/63.06</f>
        <v>1.0174437044084998</v>
      </c>
      <c r="AT12" s="604">
        <f>74.44/74.95</f>
        <v>0.99319546364242817</v>
      </c>
      <c r="AU12" s="604">
        <f>82.13/85.05</f>
        <v>0.96566725455614344</v>
      </c>
      <c r="AV12" s="604">
        <f>87.76/91.03</f>
        <v>0.96407777655717897</v>
      </c>
      <c r="AW12" s="604">
        <f>94.02/95.17</f>
        <v>0.98791636019754114</v>
      </c>
      <c r="AX12" s="906">
        <f>98.63/100</f>
        <v>0.98629999999999995</v>
      </c>
      <c r="AY12" s="366" t="str">
        <f t="shared" si="1"/>
        <v>5.2.1</v>
      </c>
      <c r="AZ12" s="388" t="s">
        <v>968</v>
      </c>
      <c r="BA12" s="590" t="s">
        <v>1230</v>
      </c>
      <c r="BB12" s="590" t="s">
        <v>1304</v>
      </c>
      <c r="BC12" s="590" t="s">
        <v>1407</v>
      </c>
      <c r="BD12" s="886" t="s">
        <v>1505</v>
      </c>
      <c r="BE12" s="888" t="s">
        <v>1006</v>
      </c>
      <c r="BF12" s="433"/>
      <c r="BG12" s="507"/>
      <c r="BH12" s="507"/>
      <c r="BI12" s="507"/>
      <c r="BJ12" s="507"/>
    </row>
    <row r="13" spans="1:62" ht="224.25" customHeight="1" x14ac:dyDescent="0.2">
      <c r="A13" s="12" t="str">
        <f>+'PAI 2021 - V4'!I12</f>
        <v>5.2.2</v>
      </c>
      <c r="B13" s="593" t="str">
        <f>+'PAI 2021 - V4'!A11</f>
        <v>16. Paz, justicia e instituciones sólidas.</v>
      </c>
      <c r="C13" s="593" t="str">
        <f>+'PAI 2021 - V4'!B11</f>
        <v>Propósito 5 
Logro de ciudad: 30</v>
      </c>
      <c r="D13" s="593" t="str">
        <f>+'PAI 2021 - V4'!C11</f>
        <v>Planeación estratégica.
Seguimiento y evaluación del desempeño institucional</v>
      </c>
      <c r="E13" s="593" t="str">
        <f>+'PAI 2021 - V4'!D11</f>
        <v>05 - Fortalecer la capacidad organizacional de Capital para ser una empresa transparente, eficiente y sostenible.</v>
      </c>
      <c r="F13" s="593" t="str">
        <f>+'PAI 2021 - V4'!E11</f>
        <v>5.2. Fortalecimiento de la cultura de la planeación</v>
      </c>
      <c r="G13" s="593" t="str">
        <f>+'PAI 2021 - V4'!F12</f>
        <v>Lograr niveles de cumplimiento superiores al 90% en la rendición de informes e iniciativas de planeación.</v>
      </c>
      <c r="H13" s="593" t="str">
        <f>+'PAI 2021 - V4'!G12</f>
        <v>Promedio de cumplimiento en la rendición de informes e iniciativas de planeación, para las vigencias de medición.</v>
      </c>
      <c r="I13" s="593" t="str">
        <f>+'PAI 2021 - V4'!H12</f>
        <v>2 Eficiencia: (uso de los recursos)</v>
      </c>
      <c r="J13" s="588" t="str">
        <f>+'PAI 2021 - V4'!I12</f>
        <v>5.2.2</v>
      </c>
      <c r="K13" s="588" t="str">
        <f>+'PAI 2021 - V4'!J12</f>
        <v>Implementación y seguimiento al cronograma anual de planeación.</v>
      </c>
      <c r="L13" s="588" t="str">
        <f t="shared" si="0"/>
        <v>5.2.2 Implementación y seguimiento al cronograma anual de planeación.</v>
      </c>
      <c r="M13" s="588" t="str">
        <f>+'PAI 2021 - V4'!K12</f>
        <v>Establecer los criterios en materia de seguimientos que deben ser reportados a planeación por parte los diferentes responsables de las  temáticas de gestión establecidas.</v>
      </c>
      <c r="N13" s="588" t="str">
        <f>+'PAI 2021 - V4'!L12</f>
        <v xml:space="preserve">Balance del cumplimiento al reporte de acciones respecto a lo establecido en el cronograma anual de planeación </v>
      </c>
      <c r="O13" s="588" t="str">
        <f>+'PAI 2021 - V4'!M12</f>
        <v xml:space="preserve">Porcentaje del cumplimiento oportuno del cronograma de informes </v>
      </c>
      <c r="P13" s="588" t="str">
        <f>+'PAI 2021 - V4'!N12</f>
        <v>2 Eficiencia: (uso de los recursos)</v>
      </c>
      <c r="Q13" s="588" t="str">
        <f>+'PAI 2021 - V4'!O12</f>
        <v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v>
      </c>
      <c r="R13" s="515" t="str">
        <f>+'PAI 2021 - V4'!P12</f>
        <v>Número de informes y/o reportes ejecutados oportunamente / Número total de informes y/o reportes programados para el periodo</v>
      </c>
      <c r="S13" s="588" t="s">
        <v>873</v>
      </c>
      <c r="T13" s="588" t="s">
        <v>871</v>
      </c>
      <c r="U13" s="588" t="str">
        <f>+'PAI 2021 - V4'!Q12</f>
        <v>Porcentaje (%).</v>
      </c>
      <c r="V13" s="588" t="str">
        <f>+'PAI 2021 - V4'!R12</f>
        <v>No aplica.</v>
      </c>
      <c r="W13" s="442">
        <f>+'PAI 2021 - V4'!S12</f>
        <v>0.9</v>
      </c>
      <c r="X13" s="401">
        <f>+'PAI 2021 - V4'!T12</f>
        <v>0.9</v>
      </c>
      <c r="Y13" s="401">
        <f>+'PAI 2021 - V4'!U12</f>
        <v>0.9</v>
      </c>
      <c r="Z13" s="401">
        <f>+'PAI 2021 - V4'!V12</f>
        <v>0.9</v>
      </c>
      <c r="AA13" s="588" t="str">
        <f>+'PAI 2021 - V4'!W12</f>
        <v>-</v>
      </c>
      <c r="AB13" s="588" t="str">
        <f>+'PAI 2021 - V4'!X12</f>
        <v>-</v>
      </c>
      <c r="AC13" s="588" t="str">
        <f>+'PAI 2021 - V4'!Y12</f>
        <v>-</v>
      </c>
      <c r="AD13" s="588" t="str">
        <f>+'PAI 2021 - V4'!Z12</f>
        <v>-</v>
      </c>
      <c r="AE13" s="588" t="str">
        <f>+'PAI 2021 - V4'!AA12</f>
        <v>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v>
      </c>
      <c r="AF13" s="588" t="str">
        <f>+'PAI 2021 - V4'!AB12</f>
        <v>Cumplimiento de las actividades de gestión, según su ponderación.</v>
      </c>
      <c r="AG13" s="588" t="str">
        <f>+'PAI 2021 - V4'!AC12</f>
        <v>2 Eficiencia: (uso de los recursos)</v>
      </c>
      <c r="AH13" s="588" t="str">
        <f>+'PAI 2021 - V4'!AD12</f>
        <v>Porcentaje (%)</v>
      </c>
      <c r="AI13" s="588" t="str">
        <f>+'PAI 2021 - V4'!AE12</f>
        <v>Trimestral.</v>
      </c>
      <c r="AJ13" s="588" t="str">
        <f>+'PAI 2021 - V4'!AF12</f>
        <v>No aplica.</v>
      </c>
      <c r="AK13" s="306" t="str">
        <f>+'PAI 2021 - V4'!AG12</f>
        <v>Asesora de planeación.</v>
      </c>
      <c r="AL13" s="899" t="str">
        <f>+'PAI 2021 - V4'!AH12</f>
        <v>Profesional de apoyo de Planeación.</v>
      </c>
      <c r="AM13" s="907">
        <f>37/39</f>
        <v>0.94871794871794868</v>
      </c>
      <c r="AN13" s="707"/>
      <c r="AO13" s="707"/>
      <c r="AP13" s="707">
        <f>24/26</f>
        <v>0.92307692307692313</v>
      </c>
      <c r="AQ13" s="707"/>
      <c r="AR13" s="707"/>
      <c r="AS13" s="707">
        <f>35/35</f>
        <v>1</v>
      </c>
      <c r="AT13" s="707"/>
      <c r="AU13" s="707"/>
      <c r="AV13" s="707">
        <f>23/23</f>
        <v>1</v>
      </c>
      <c r="AW13" s="707"/>
      <c r="AX13" s="908"/>
      <c r="AY13" s="366" t="str">
        <f t="shared" si="1"/>
        <v>5.2.2</v>
      </c>
      <c r="AZ13" s="388" t="s">
        <v>972</v>
      </c>
      <c r="BA13" s="590" t="s">
        <v>1204</v>
      </c>
      <c r="BB13" s="590" t="s">
        <v>1408</v>
      </c>
      <c r="BC13" s="590" t="s">
        <v>1409</v>
      </c>
      <c r="BD13" s="886" t="s">
        <v>1506</v>
      </c>
      <c r="BE13" s="888" t="s">
        <v>1006</v>
      </c>
      <c r="BF13" s="433"/>
      <c r="BG13" s="407"/>
      <c r="BH13" s="407"/>
      <c r="BI13" s="407"/>
      <c r="BJ13" s="432"/>
    </row>
    <row r="14" spans="1:62" ht="202.5" customHeight="1" x14ac:dyDescent="0.2">
      <c r="A14" s="12" t="str">
        <f>+'PAI 2021 - V4'!I13</f>
        <v>5.2.3</v>
      </c>
      <c r="B14" s="593" t="str">
        <f>+'PAI 2021 - V4'!A11</f>
        <v>16. Paz, justicia e instituciones sólidas.</v>
      </c>
      <c r="C14" s="593" t="str">
        <f>+'PAI 2021 - V4'!B11</f>
        <v>Propósito 5 
Logro de ciudad: 30</v>
      </c>
      <c r="D14" s="593" t="str">
        <f>+'PAI 2021 - V4'!C11</f>
        <v>Planeación estratégica.
Seguimiento y evaluación del desempeño institucional</v>
      </c>
      <c r="E14" s="593" t="str">
        <f>+'PAI 2021 - V4'!D11</f>
        <v>05 - Fortalecer la capacidad organizacional de Capital para ser una empresa transparente, eficiente y sostenible.</v>
      </c>
      <c r="F14" s="593" t="str">
        <f>+'PAI 2021 - V4'!E11</f>
        <v>5.2. Fortalecimiento de la cultura de la planeación</v>
      </c>
      <c r="G14" s="593" t="str">
        <f>+'PAI 2021 - V4'!F13</f>
        <v>Lograr niveles de cumplimiento superiores al 90% en la planeación presupuestal a través del Plan Anual de Adquisiciones.</v>
      </c>
      <c r="H14" s="593" t="str">
        <f>+'PAI 2021 - V4'!G13</f>
        <v>Promedio de ejecución presupuestal de las áreas medido a través del Plan Anual de Adquisiciones - PAA.</v>
      </c>
      <c r="I14" s="593" t="str">
        <f>+'PAI 2021 - V4'!H13</f>
        <v>2 Eficiencia: (uso de los recursos)</v>
      </c>
      <c r="J14" s="588" t="str">
        <f>+'PAI 2021 - V4'!I13</f>
        <v>5.2.3</v>
      </c>
      <c r="K14" s="588" t="str">
        <f>+'PAI 2021 - V4'!J13</f>
        <v>Seguimiento a la ejecución de recursos del Plan Anual de Adquisiciones - PAA.</v>
      </c>
      <c r="L14" s="588" t="str">
        <f t="shared" si="0"/>
        <v>5.2.3 Seguimiento a la ejecución de recursos del Plan Anual de Adquisiciones - PAA.</v>
      </c>
      <c r="M14" s="515" t="str">
        <f>+'PAI 2021 - V4'!K13</f>
        <v>Medir el nivel de cumplimiento en la ejecución de los recursos sobre las adquisiciones planeadas para la vigencia</v>
      </c>
      <c r="N14" s="588" t="str">
        <f>+'PAI 2021 - V4'!L13</f>
        <v xml:space="preserve">Plan Anual de Adquisiciones actualizado en SECOP II. </v>
      </c>
      <c r="O14" s="588" t="str">
        <f>+'PAI 2021 - V4'!M13</f>
        <v xml:space="preserve">Porcentaje de cumplimiento del Plan Anual de Adquisiciones </v>
      </c>
      <c r="P14" s="588" t="str">
        <f>+'PAI 2021 - V4'!N13</f>
        <v>2 Eficiencia: (uso de los recursos)</v>
      </c>
      <c r="Q14" s="515" t="str">
        <f>+'PAI 2021 - V4'!O13</f>
        <v>El Plan Anual de Adquisiciones - PAA es la herramienta de planeación institucional a través de la cual se identifican y proyectan las necesidades de productos y servicios requeridos para la correcta operación de la entidad a lo largo de la vigencia y facilita su seguimiento a lo largo del año en términos de verificar el nivel de cumplimiento en la ejecución del presupuesto asignado. 
Con este indicador se pretende establecer el nivel de cumplimiento del PAA respecto a la programación que establece cada área, en su construcción y modificaciones.</v>
      </c>
      <c r="R14" s="588" t="str">
        <f>+'PAI 2021 - V4'!P13</f>
        <v>(Recursos ejecutados del Plan Anual de Adquisiciones - PAA de la vigencia 2021 / Total de recursos programados en el Plan Anual de Adquisiciones - PAA para la vigencia 2021)*100%.</v>
      </c>
      <c r="S14" s="588" t="s">
        <v>964</v>
      </c>
      <c r="T14" s="588" t="s">
        <v>965</v>
      </c>
      <c r="U14" s="588" t="str">
        <f>+'PAI 2021 - V4'!Q13</f>
        <v>Porcentaje (%).</v>
      </c>
      <c r="V14" s="588" t="str">
        <f>+'PAI 2021 - V4'!R13</f>
        <v>No aplica.</v>
      </c>
      <c r="W14" s="442">
        <f>+'PAI 2021 - V4'!S13</f>
        <v>1</v>
      </c>
      <c r="X14" s="400">
        <f>+'PAI 2021 - V4'!T13</f>
        <v>1</v>
      </c>
      <c r="Y14" s="400">
        <f>+'PAI 2021 - V4'!U13</f>
        <v>1</v>
      </c>
      <c r="Z14" s="400">
        <f>+'PAI 2021 - V4'!V13</f>
        <v>1</v>
      </c>
      <c r="AA14" s="588" t="str">
        <f>+'PAI 2021 - V4'!W13</f>
        <v>-</v>
      </c>
      <c r="AB14" s="588" t="str">
        <f>+'PAI 2021 - V4'!X13</f>
        <v>-</v>
      </c>
      <c r="AC14" s="588" t="str">
        <f>+'PAI 2021 - V4'!Y13</f>
        <v>-</v>
      </c>
      <c r="AD14" s="588" t="str">
        <f>+'PAI 2021 - V4'!Z13</f>
        <v>-</v>
      </c>
      <c r="AE14" s="588" t="str">
        <f>+'PAI 2021 - V4'!AA13</f>
        <v>1. Elaboración del PAA de acuerdo con el anteproyecto de presupuesto para la siguiente vigencia (40%). 
2. Actualizar el PAA de acuerdo con los reportes del BOGDATA (40%)
3. Actualizaciones del PAA según solicitudes generadas por la diferentes áreas (20%).</v>
      </c>
      <c r="AF14" s="588" t="str">
        <f>+'PAI 2021 - V4'!AB13</f>
        <v>Cumplimiento de las actividades de gestión, según su ponderación.</v>
      </c>
      <c r="AG14" s="588" t="str">
        <f>+'PAI 2021 - V4'!AC13</f>
        <v>2 Eficiencia: (uso de los recursos)</v>
      </c>
      <c r="AH14" s="588" t="str">
        <f>+'PAI 2021 - V4'!AD13</f>
        <v>Porcentaje (%)</v>
      </c>
      <c r="AI14" s="588" t="str">
        <f>+'PAI 2021 - V4'!AE13</f>
        <v>Trimestral.</v>
      </c>
      <c r="AJ14" s="588" t="str">
        <f>+'PAI 2021 - V4'!AF13</f>
        <v>No aplica.</v>
      </c>
      <c r="AK14" s="306" t="str">
        <f>+'PAI 2021 - V4'!AG13</f>
        <v>Asesora de planeación.</v>
      </c>
      <c r="AL14" s="899" t="str">
        <f>+'PAI 2021 - V4'!AH13</f>
        <v>Profesional de Planeación.</v>
      </c>
      <c r="AM14" s="907">
        <f>12561352703/25946681772</f>
        <v>0.48412173908709238</v>
      </c>
      <c r="AN14" s="707"/>
      <c r="AO14" s="707"/>
      <c r="AP14" s="707">
        <f>18580573103/29448432748</f>
        <v>0.63095286808639772</v>
      </c>
      <c r="AQ14" s="707"/>
      <c r="AR14" s="707"/>
      <c r="AS14" s="707">
        <f>25152006476/30419446143</f>
        <v>0.82683972475244683</v>
      </c>
      <c r="AT14" s="707"/>
      <c r="AU14" s="707"/>
      <c r="AV14" s="707">
        <f>30994132427/32542285569</f>
        <v>0.95242641643232395</v>
      </c>
      <c r="AW14" s="707"/>
      <c r="AX14" s="908"/>
      <c r="AY14" s="366" t="str">
        <f t="shared" si="1"/>
        <v>5.2.3</v>
      </c>
      <c r="AZ14" s="388" t="s">
        <v>1231</v>
      </c>
      <c r="BA14" s="590" t="s">
        <v>1205</v>
      </c>
      <c r="BB14" s="590" t="s">
        <v>1410</v>
      </c>
      <c r="BC14" s="590" t="s">
        <v>1411</v>
      </c>
      <c r="BD14" s="886" t="s">
        <v>1507</v>
      </c>
      <c r="BE14" s="888" t="s">
        <v>1006</v>
      </c>
      <c r="BF14" s="433"/>
      <c r="BG14" s="407" t="s">
        <v>1018</v>
      </c>
      <c r="BH14" s="407" t="s">
        <v>1019</v>
      </c>
      <c r="BI14" s="407" t="s">
        <v>1017</v>
      </c>
      <c r="BJ14" s="432" t="s">
        <v>1023</v>
      </c>
    </row>
    <row r="15" spans="1:62" ht="333.75" customHeight="1" x14ac:dyDescent="0.2">
      <c r="A15" s="12" t="str">
        <f>+'PAI 2021 - V4'!I14</f>
        <v>2.1.1</v>
      </c>
      <c r="B15" s="593" t="str">
        <f>+'PAI 2021 - V4'!A14</f>
        <v>5. Igualdad de Género.
10. Reducción de las desigualdades.
11. Ciudades y comunidades sostenibles.
17. Alianzas para lograr los objetivos.</v>
      </c>
      <c r="C15" s="593" t="str">
        <f>+'PAI 2021 - V4'!B14</f>
        <v>Propósito 1
Logro de ciudad: 3 - 9 - 10
Propósito 3
Logro de ciudad: 22 - 23
Propósito 5
Logro de ciudad: 30</v>
      </c>
      <c r="D15" s="593" t="str">
        <f>+'PAI 2021 - V4'!C14</f>
        <v>Participación ciudadana en la gestión pública.</v>
      </c>
      <c r="E15" s="593" t="str">
        <f>+'PAI 2021 - V4'!D14</f>
        <v>01 - Consolidar una oferta de contenidos de interés ciudadano en diferentes formatos y plataformas que promuevan la participación de la ciudadanía.</v>
      </c>
      <c r="F15" s="593" t="str">
        <f>+'PAI 2021 - V4'!E14</f>
        <v>2.1. Gestión integral de compromisos de Capital en las distintas políticas públicas poblacionales del distrito capital.</v>
      </c>
      <c r="G15" s="593" t="str">
        <f>+'PAI 2021 - V4'!F14</f>
        <v>Atender el 100% de los compromisos y requerimientos derivados de las políticas públicas poblaciones (PPP).</v>
      </c>
      <c r="H15" s="593" t="str">
        <f>+'PAI 2021 - V4'!G14</f>
        <v>Numero de compromisos atendidos.</v>
      </c>
      <c r="I15" s="593" t="str">
        <f>+'PAI 2021 - V4'!H14</f>
        <v>3 Efectividad (impacto o beneficios generados)</v>
      </c>
      <c r="J15" s="588" t="str">
        <f>+'PAI 2021 - V4'!I14</f>
        <v>2.1.1</v>
      </c>
      <c r="K15" s="588" t="str">
        <f>+'PAI 2021 - V4'!J14</f>
        <v>Gestión de los compromisos derivados de las Políticas públicas poblacionales, grupos étnicos  y grupos poblacionales</v>
      </c>
      <c r="L15" s="588" t="str">
        <f t="shared" si="0"/>
        <v>2.1.1 Gestión de los compromisos derivados de las Políticas públicas poblacionales, grupos étnicos  y grupos poblacionales</v>
      </c>
      <c r="M15" s="588" t="str">
        <f>+'PAI 2021 - V4'!K14</f>
        <v>Atender los compromisos adquiridos en el marco de las PPP en las cuales incide Capital.</v>
      </c>
      <c r="N15" s="588" t="str">
        <f>+'PAI 2021 - V4'!L14</f>
        <v>Matriz de consolidación de emisiones y reportes a grupos étnicos / grupos poblacionales.</v>
      </c>
      <c r="O15" s="588" t="str">
        <f>+'PAI 2021 - V4'!M14</f>
        <v>Porcentaje de cumplimiento a los compromisos gestionados por Capital.</v>
      </c>
      <c r="P15" s="588" t="str">
        <f>+'PAI 2021 - V4'!N14</f>
        <v>2 Eficiencia: (uso de los recursos)</v>
      </c>
      <c r="Q15" s="588" t="str">
        <f>+'PAI 2021 - V4'!O14</f>
        <v>Se pretende establecer el nivel de cumplimiento de los compromisos que Capital ha adquirido en materia de las Políticas Públicas Poblacionales en las cuales tiene incidencia.</v>
      </c>
      <c r="R15" s="588" t="str">
        <f>+'PAI 2021 - V4'!P14</f>
        <v>Número de compromisos gestionados / Total de compromisos adquiridos</v>
      </c>
      <c r="S15" s="588" t="s">
        <v>876</v>
      </c>
      <c r="T15" s="588" t="s">
        <v>874</v>
      </c>
      <c r="U15" s="588" t="str">
        <f>+'PAI 2021 - V4'!Q14</f>
        <v>Porcentaje (%).</v>
      </c>
      <c r="V15" s="515" t="str">
        <f>+'PAI 2021 - V4'!R14</f>
        <v>No aplica.</v>
      </c>
      <c r="W15" s="442">
        <f>+'PAI 2021 - V4'!S14</f>
        <v>1</v>
      </c>
      <c r="X15" s="400">
        <f>+'PAI 2021 - V4'!T14</f>
        <v>1</v>
      </c>
      <c r="Y15" s="400">
        <f>+'PAI 2021 - V4'!U14</f>
        <v>1</v>
      </c>
      <c r="Z15" s="400">
        <f>+'PAI 2021 - V4'!V14</f>
        <v>1</v>
      </c>
      <c r="AA15" s="588" t="str">
        <f>+'PAI 2021 - V4'!W14</f>
        <v>-</v>
      </c>
      <c r="AB15" s="588" t="str">
        <f>+'PAI 2021 - V4'!X14</f>
        <v>-</v>
      </c>
      <c r="AC15" s="588" t="str">
        <f>+'PAI 2021 - V4'!Y14</f>
        <v>-</v>
      </c>
      <c r="AD15" s="588" t="str">
        <f>+'PAI 2021 - V4'!Z14</f>
        <v>-</v>
      </c>
      <c r="AE15" s="588" t="str">
        <f>+'PAI 2021 - V4'!AA14</f>
        <v>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v>
      </c>
      <c r="AF15" s="588" t="str">
        <f>+'PAI 2021 - V4'!AB14</f>
        <v>Cumplimiento de las actividades de gestión, según su ponderación.</v>
      </c>
      <c r="AG15" s="588" t="str">
        <f>+'PAI 2021 - V4'!AC14</f>
        <v>2 Eficiencia: (uso de los recursos)</v>
      </c>
      <c r="AH15" s="588" t="str">
        <f>+'PAI 2021 - V4'!AD14</f>
        <v>Porcentaje (%)</v>
      </c>
      <c r="AI15" s="588" t="str">
        <f>+'PAI 2021 - V4'!AE14</f>
        <v>Trimestral.</v>
      </c>
      <c r="AJ15" s="588" t="str">
        <f>+'PAI 2021 - V4'!AF14</f>
        <v>No aplica.</v>
      </c>
      <c r="AK15" s="306" t="str">
        <f>+'PAI 2021 - V4'!AG14</f>
        <v>Asesora de planeación.</v>
      </c>
      <c r="AL15" s="899" t="str">
        <f>+'PAI 2021 - V4'!AH14</f>
        <v>Profesional de apoyo de Planeación.</v>
      </c>
      <c r="AM15" s="909">
        <f>11/11</f>
        <v>1</v>
      </c>
      <c r="AN15" s="704"/>
      <c r="AO15" s="704"/>
      <c r="AP15" s="704">
        <f>11/11</f>
        <v>1</v>
      </c>
      <c r="AQ15" s="704"/>
      <c r="AR15" s="704"/>
      <c r="AS15" s="704">
        <f>11/11</f>
        <v>1</v>
      </c>
      <c r="AT15" s="704"/>
      <c r="AU15" s="704"/>
      <c r="AV15" s="704">
        <f>11/11</f>
        <v>1</v>
      </c>
      <c r="AW15" s="704"/>
      <c r="AX15" s="910"/>
      <c r="AY15" s="366" t="str">
        <f t="shared" si="1"/>
        <v>2.1.1</v>
      </c>
      <c r="AZ15" s="388" t="s">
        <v>1232</v>
      </c>
      <c r="BA15" s="590" t="s">
        <v>1206</v>
      </c>
      <c r="BB15" s="590" t="s">
        <v>1526</v>
      </c>
      <c r="BC15" s="590" t="s">
        <v>1528</v>
      </c>
      <c r="BD15" s="886" t="s">
        <v>1527</v>
      </c>
      <c r="BE15" s="888" t="s">
        <v>1006</v>
      </c>
      <c r="BF15" s="433"/>
      <c r="BG15" s="407"/>
      <c r="BH15" s="407"/>
      <c r="BI15" s="407"/>
      <c r="BJ15" s="432"/>
    </row>
    <row r="16" spans="1:62" ht="180" customHeight="1" x14ac:dyDescent="0.2">
      <c r="A16" s="12" t="str">
        <f>+'PAI 2021 - V4'!I15</f>
        <v>1.1.1</v>
      </c>
      <c r="B16" s="593" t="str">
        <f>+'PAI 2021 - V4'!A15</f>
        <v>11. Ciudades y comunidades sostenibles.
17. Alianzas para lograr los objetivos.</v>
      </c>
      <c r="C16" s="593" t="str">
        <f>+'PAI 2021 - V4'!B15</f>
        <v>Propósito 5
Logro de ciudad: 27 - 30</v>
      </c>
      <c r="D16" s="593" t="str">
        <f>+'PAI 2021 - V4'!C15</f>
        <v>Transparencia, acceso a la información y lucha contra la corrupción.</v>
      </c>
      <c r="E16" s="593" t="str">
        <f>+'PAI 2021 - V4'!D15</f>
        <v>02 - Implementar prácticas de innovación en diseño, gestión, producción y circulación de contenidos para el posicionamiento del Sistema de Comunicación Pública en la Bogotá Región y la generación de múltiples audiencias ciudadanas.</v>
      </c>
      <c r="F16" s="593" t="str">
        <f>+'PAI 2021 - V4'!E15</f>
        <v>1.1. Desarrollo de estrategias de comunicación externa sobre acciones realizadas por Capital y con entidades del orden Distrital, Regional y Nacional con énfasis en enfoque cultural.</v>
      </c>
      <c r="G16" s="593" t="str">
        <f>+'PAI 2021 - V4'!F15</f>
        <v>Desarrollar 4 tácticas de impulso al posicionamiento de Capital en entidades públicas, privadas y ONG´s, para cada vigencia.</v>
      </c>
      <c r="H16" s="593" t="str">
        <f>+'PAI 2021 - V4'!G15</f>
        <v>Número de tácticas desarrolladas / Número de tácticas planeadas.</v>
      </c>
      <c r="I16" s="593" t="str">
        <f>+'PAI 2021 - V4'!H15</f>
        <v>3 Efectividad (impacto o beneficios generados)</v>
      </c>
      <c r="J16" s="588" t="str">
        <f>+'PAI 2021 - V4'!I15</f>
        <v>1.1.1</v>
      </c>
      <c r="K16" s="588" t="str">
        <f>+'PAI 2021 - V4'!J15</f>
        <v>Posicionamiento de Capital con entidades públicas, privadas y ONG´s en enfoque cultural.</v>
      </c>
      <c r="L16" s="588" t="str">
        <f t="shared" si="0"/>
        <v>1.1.1 Posicionamiento de Capital con entidades públicas, privadas y ONG´s en enfoque cultural.</v>
      </c>
      <c r="M16" s="588" t="str">
        <f>+'PAI 2021 - V4'!K15</f>
        <v>Crear trabajo conjunto con las entidades del Distrito y los canales regionales</v>
      </c>
      <c r="N16" s="588" t="str">
        <f>+'PAI 2021 - V4'!L15</f>
        <v>Informes semestrales del trabajo conjunto con las diferentes entidades.</v>
      </c>
      <c r="O16" s="588" t="str">
        <f>+'PAI 2021 - V4'!M15</f>
        <v>Informes semestrales de posicionamiento de capital  en entidades públicas, privadas y ONG´s en enfoque cultural.</v>
      </c>
      <c r="P16" s="588" t="str">
        <f>+'PAI 2021 - V4'!N15</f>
        <v>2 Eficiencia: (uso de los recursos)</v>
      </c>
      <c r="Q16" s="588" t="str">
        <f>+'PAI 2021 - V4'!O15</f>
        <v>La medición para el producto propuesto consiste en la elaboración de un documento que reúna las actividades realizadas con insumos. (piezas, imágenes, links).</v>
      </c>
      <c r="R16" s="588" t="str">
        <f>+'PAI 2021 - V4'!P15</f>
        <v>Informes elaborados, que den cuenta de las actividades adelantadas / número de informes planeados.</v>
      </c>
      <c r="S16" s="590" t="s">
        <v>877</v>
      </c>
      <c r="T16" s="590" t="s">
        <v>878</v>
      </c>
      <c r="U16" s="588" t="str">
        <f>+'PAI 2021 - V4'!Q15</f>
        <v>Número (#).</v>
      </c>
      <c r="V16" s="588">
        <f>+'PAI 2021 - V4'!R15</f>
        <v>1</v>
      </c>
      <c r="W16" s="306">
        <f>+'PAI 2021 - V4'!S15</f>
        <v>2</v>
      </c>
      <c r="X16" s="588">
        <f>+'PAI 2021 - V4'!T15</f>
        <v>2</v>
      </c>
      <c r="Y16" s="588">
        <f>+'PAI 2021 - V4'!U15</f>
        <v>2</v>
      </c>
      <c r="Z16" s="588">
        <f>+'PAI 2021 - V4'!V15</f>
        <v>2</v>
      </c>
      <c r="AA16" s="401">
        <f>+'PAI 2021 - V4'!W15</f>
        <v>84865200</v>
      </c>
      <c r="AB16" s="401">
        <f>+'PAI 2021 - V4'!X15</f>
        <v>113506000</v>
      </c>
      <c r="AC16" s="401">
        <f>+'PAI 2021 - V4'!Y15</f>
        <v>116911180</v>
      </c>
      <c r="AD16" s="401">
        <f>+'PAI 2021 - V4'!Z15</f>
        <v>120418515.40000001</v>
      </c>
      <c r="AE16" s="588" t="str">
        <f>+'PAI 2021 - V4'!AA15</f>
        <v>1. Participación en canales de información.
2. Levantamiento base de datos entidades distritales y canales regionales.
3. Acompañamiento trabajo conjunto áreas de Capital y entidades objetivo.</v>
      </c>
      <c r="AF16" s="588" t="str">
        <f>+'PAI 2021 - V4'!AB15</f>
        <v>Cumplimiento de las actividades de gestión, según su ponderación.</v>
      </c>
      <c r="AG16" s="588" t="str">
        <f>+'PAI 2021 - V4'!AC15</f>
        <v>2 Eficiencia: (uso de los recursos)</v>
      </c>
      <c r="AH16" s="588" t="str">
        <f>+'PAI 2021 - V4'!AD15</f>
        <v>Porcentaje (%)</v>
      </c>
      <c r="AI16" s="588" t="str">
        <f>+'PAI 2021 - V4'!AE15</f>
        <v>Trimestral.</v>
      </c>
      <c r="AJ16" s="588" t="str">
        <f>+'PAI 2021 - V4'!AF15</f>
        <v>En los costos definidos para las actividades están relacionados con el valor mensual de los contratistas del equipo de trabajo de comunicaciones que se encargan de la tarea.</v>
      </c>
      <c r="AK16" s="306" t="str">
        <f>+'PAI 2021 - V4'!AG15</f>
        <v>Coordinador de Prensa y Comunicaciones.</v>
      </c>
      <c r="AL16" s="899" t="str">
        <f>+'PAI 2021 - V4'!AH15</f>
        <v>Contratista Prensa y Comunicaciones.</v>
      </c>
      <c r="AM16" s="911">
        <f>0.5/2</f>
        <v>0.25</v>
      </c>
      <c r="AN16" s="706"/>
      <c r="AO16" s="706"/>
      <c r="AP16" s="705">
        <f>3/3</f>
        <v>1</v>
      </c>
      <c r="AQ16" s="706"/>
      <c r="AR16" s="706"/>
      <c r="AS16" s="705">
        <f>3/3</f>
        <v>1</v>
      </c>
      <c r="AT16" s="706"/>
      <c r="AU16" s="706"/>
      <c r="AV16" s="705">
        <f>3/3</f>
        <v>1</v>
      </c>
      <c r="AW16" s="706"/>
      <c r="AX16" s="912"/>
      <c r="AY16" s="366" t="str">
        <f t="shared" si="1"/>
        <v>1.1.1</v>
      </c>
      <c r="AZ16" s="388" t="s">
        <v>1233</v>
      </c>
      <c r="BA16" s="590" t="s">
        <v>1234</v>
      </c>
      <c r="BB16" s="590" t="s">
        <v>1412</v>
      </c>
      <c r="BC16" s="590" t="s">
        <v>1413</v>
      </c>
      <c r="BD16" s="886" t="s">
        <v>1508</v>
      </c>
      <c r="BE16" s="888" t="s">
        <v>1006</v>
      </c>
      <c r="BG16" s="432"/>
      <c r="BH16" s="432"/>
      <c r="BI16" s="432"/>
      <c r="BJ16" s="432"/>
    </row>
    <row r="17" spans="1:62" ht="182.25" customHeight="1" x14ac:dyDescent="0.2">
      <c r="A17" s="12" t="str">
        <f>+'PAI 2021 - V4'!I16</f>
        <v>1.1.2</v>
      </c>
      <c r="B17" s="593" t="str">
        <f>+'PAI 2021 - V4'!A15</f>
        <v>11. Ciudades y comunidades sostenibles.
17. Alianzas para lograr los objetivos.</v>
      </c>
      <c r="C17" s="593" t="str">
        <f>+'PAI 2021 - V4'!B15</f>
        <v>Propósito 5
Logro de ciudad: 27 - 30</v>
      </c>
      <c r="D17" s="593" t="str">
        <f>+'PAI 2021 - V4'!C15</f>
        <v>Transparencia, acceso a la información y lucha contra la corrupción.</v>
      </c>
      <c r="E17" s="593" t="str">
        <f>+'PAI 2021 - V4'!D15</f>
        <v>02 - Implementar prácticas de innovación en diseño, gestión, producción y circulación de contenidos para el posicionamiento del Sistema de Comunicación Pública en la Bogotá Región y la generación de múltiples audiencias ciudadanas.</v>
      </c>
      <c r="F17" s="593" t="str">
        <f>+'PAI 2021 - V4'!E15</f>
        <v>1.1. Desarrollo de estrategias de comunicación externa sobre acciones realizadas por Capital y con entidades del orden Distrital, Regional y Nacional con énfasis en enfoque cultural.</v>
      </c>
      <c r="G17" s="593" t="str">
        <f>+'PAI 2021 - V4'!F16</f>
        <v>Lograr 1320 publicaciones en medios locales, regionales y nacionales.</v>
      </c>
      <c r="H17" s="593" t="str">
        <f>+'PAI 2021 - V4'!G16</f>
        <v>Número de publicaciones obtenidas / Número de publicaciones planificadas</v>
      </c>
      <c r="I17" s="593" t="str">
        <f>+'PAI 2021 - V4'!H16</f>
        <v>3 Efectividad (impacto o beneficios generados)</v>
      </c>
      <c r="J17" s="588" t="str">
        <f>+'PAI 2021 - V4'!I16</f>
        <v>1.1.2</v>
      </c>
      <c r="K17" s="588" t="str">
        <f>+'PAI 2021 - V4'!J16</f>
        <v>Posicionamiento de Capital con los medios de comunicación, influenciadores y generadores de opinión.</v>
      </c>
      <c r="L17" s="588" t="str">
        <f t="shared" si="0"/>
        <v>1.1.2 Posicionamiento de Capital con los medios de comunicación, influenciadores y generadores de opinión.</v>
      </c>
      <c r="M17" s="588" t="str">
        <f>+'PAI 2021 - V4'!K16</f>
        <v>Generar posicionamiento de Capital a través de la visibilización del contenido de la parrilla de programación, el talento y voceros designados.</v>
      </c>
      <c r="N17" s="588" t="str">
        <f>+'PAI 2021 - V4'!L16</f>
        <v>300 Publicaciones en medios locales, regionales y nacionales.</v>
      </c>
      <c r="O17" s="588" t="str">
        <f>+'PAI 2021 - V4'!M16</f>
        <v>Publicaciones en medios locales, regionales y nacionales.</v>
      </c>
      <c r="P17" s="588" t="str">
        <f>+'PAI 2021 - V4'!N16</f>
        <v>1 Eficacia: (cumplimiento de metas)</v>
      </c>
      <c r="Q17" s="588" t="str">
        <f>+'PAI 2021 - V4'!O16</f>
        <v>Publicaciones logradas por el trabajo de Free Press en los diferentes medios de comunicación.</v>
      </c>
      <c r="R17" s="588" t="str">
        <f>+'PAI 2021 - V4'!P16</f>
        <v>Número de publicaciones alcanzadas / Número de publicaciones proyectadas</v>
      </c>
      <c r="S17" s="588" t="s">
        <v>879</v>
      </c>
      <c r="T17" s="588" t="s">
        <v>875</v>
      </c>
      <c r="U17" s="588" t="str">
        <f>+'PAI 2021 - V4'!Q16</f>
        <v>Número (#).</v>
      </c>
      <c r="V17" s="588" t="str">
        <f>+'PAI 2021 - V4'!R16</f>
        <v>No aplica.</v>
      </c>
      <c r="W17" s="306">
        <f>+'PAI 2021 - V4'!S16</f>
        <v>300</v>
      </c>
      <c r="X17" s="588">
        <f>+'PAI 2021 - V4'!T16</f>
        <v>320</v>
      </c>
      <c r="Y17" s="588">
        <f>+'PAI 2021 - V4'!U16</f>
        <v>340</v>
      </c>
      <c r="Z17" s="588">
        <f>+'PAI 2021 - V4'!V16</f>
        <v>360</v>
      </c>
      <c r="AA17" s="401">
        <f>+'PAI 2021 - V4'!W16</f>
        <v>110200000</v>
      </c>
      <c r="AB17" s="401">
        <f>+'PAI 2021 - V4'!X16</f>
        <v>113506000</v>
      </c>
      <c r="AC17" s="401">
        <f>+'PAI 2021 - V4'!Y16</f>
        <v>116911180</v>
      </c>
      <c r="AD17" s="401">
        <f>+'PAI 2021 - V4'!Z16</f>
        <v>120418515.40000001</v>
      </c>
      <c r="AE17" s="588" t="str">
        <f>+'PAI 2021 - V4'!AA16</f>
        <v>1. Recopilación de información. 
2. Redacción de artículos / boletines.
3. Aprobación del producto.
4. Envío a medios.
5. Seguimiento. 
6. Materialización de la publicación y/o entrevista.
7. Elaboración informe de gestión.</v>
      </c>
      <c r="AF17" s="588" t="str">
        <f>+'PAI 2021 - V4'!AB16</f>
        <v>Cumplimiento de las actividades de gestión, según su ponderación.</v>
      </c>
      <c r="AG17" s="588" t="str">
        <f>+'PAI 2021 - V4'!AC16</f>
        <v>2 Eficiencia: (uso de los recursos)</v>
      </c>
      <c r="AH17" s="588" t="str">
        <f>+'PAI 2021 - V4'!AD16</f>
        <v>Porcentaje (%)</v>
      </c>
      <c r="AI17" s="588" t="str">
        <f>+'PAI 2021 - V4'!AE16</f>
        <v>Trimestral.</v>
      </c>
      <c r="AJ17" s="588" t="str">
        <f>+'PAI 2021 - V4'!AF16</f>
        <v>En los costos definidos para las actividades están relacionados con el valor mensual de los contratistas del equipo de trabajo de comunicaciones que se encargan de la tarea.</v>
      </c>
      <c r="AK17" s="306" t="str">
        <f>+'PAI 2021 - V4'!AG16</f>
        <v>Coordinador de Prensa y Comunicaciones.</v>
      </c>
      <c r="AL17" s="899" t="str">
        <f>+'PAI 2021 - V4'!AH16</f>
        <v>Contratista Prensa y Comunicaciones.</v>
      </c>
      <c r="AM17" s="907">
        <f>82/300</f>
        <v>0.27333333333333332</v>
      </c>
      <c r="AN17" s="706"/>
      <c r="AO17" s="706"/>
      <c r="AP17" s="707">
        <f>(82+85)/300</f>
        <v>0.55666666666666664</v>
      </c>
      <c r="AQ17" s="706"/>
      <c r="AR17" s="706"/>
      <c r="AS17" s="707">
        <f>(82+85+107)/300</f>
        <v>0.91333333333333333</v>
      </c>
      <c r="AT17" s="706"/>
      <c r="AU17" s="706"/>
      <c r="AV17" s="707">
        <f>(82+85+107+57)/300</f>
        <v>1.1033333333333333</v>
      </c>
      <c r="AW17" s="706"/>
      <c r="AX17" s="912"/>
      <c r="AY17" s="366" t="str">
        <f t="shared" si="1"/>
        <v>1.1.2</v>
      </c>
      <c r="AZ17" s="388" t="s">
        <v>970</v>
      </c>
      <c r="BA17" s="590" t="s">
        <v>1207</v>
      </c>
      <c r="BB17" s="590" t="s">
        <v>1305</v>
      </c>
      <c r="BC17" s="590" t="s">
        <v>1380</v>
      </c>
      <c r="BD17" s="886" t="s">
        <v>1509</v>
      </c>
      <c r="BE17" s="888" t="s">
        <v>1006</v>
      </c>
      <c r="BG17" s="432" t="s">
        <v>1029</v>
      </c>
      <c r="BH17" s="432" t="s">
        <v>1021</v>
      </c>
      <c r="BI17" s="432" t="s">
        <v>1017</v>
      </c>
      <c r="BJ17" s="432" t="s">
        <v>1023</v>
      </c>
    </row>
    <row r="18" spans="1:62" ht="114.75" customHeight="1" x14ac:dyDescent="0.2">
      <c r="A18" s="12" t="str">
        <f>+'PAI 2021 - V4'!I17</f>
        <v>5.3.1</v>
      </c>
      <c r="B18" s="593" t="str">
        <f>+'PAI 2021 - V4'!A17</f>
        <v>11. Ciudades y comunidades sostenibles.
17. Alianzas para lograr los objetivos.</v>
      </c>
      <c r="C18" s="593" t="str">
        <f>+'PAI 2021 - V4'!B17</f>
        <v>Propósito 5
Logro de ciudad: 27 - 30</v>
      </c>
      <c r="D18" s="593" t="str">
        <f>+'PAI 2021 - V4'!C17</f>
        <v>Transparencia, acceso a la información y lucha contra la corrupción.
Fortalecimiento organizacional y simplificación de procesos.</v>
      </c>
      <c r="E18" s="593" t="str">
        <f>+'PAI 2021 - V4'!D17</f>
        <v>05 - Fortalecer la capacidad organizacional de Capital para ser una empresa transparente, eficiente y sostenible.</v>
      </c>
      <c r="F18" s="593" t="str">
        <f>+'PAI 2021 - V4'!E17</f>
        <v>5.3. Acompañamiento a las estrategias de comunicación interna planeadas o definidas por Capital en sus diferentes proyectos.</v>
      </c>
      <c r="G18" s="593" t="str">
        <f>+'PAI 2021 - V4'!F17</f>
        <v>Lograr como mínimo 5 medios de comunicación intervenidos y/o establecidos</v>
      </c>
      <c r="H18" s="593" t="str">
        <f>+'PAI 2021 - V4'!G17</f>
        <v>Medios de comunicación intervenidos y/o establecidos /  Medios de comunicación planeados para intervenir.</v>
      </c>
      <c r="I18" s="593" t="str">
        <f>+'PAI 2021 - V4'!H17</f>
        <v>2 Eficiencia: (uso de los recursos)</v>
      </c>
      <c r="J18" s="588" t="str">
        <f>+'PAI 2021 - V4'!I17</f>
        <v>5.3.1</v>
      </c>
      <c r="K18" s="588" t="str">
        <f>+'PAI 2021 - V4'!J17</f>
        <v>Análisis y fortalecimiento de canales de comunicación, nuevos y existentes.</v>
      </c>
      <c r="L18" s="588" t="str">
        <f t="shared" si="0"/>
        <v>5.3.1 Análisis y fortalecimiento de canales de comunicación, nuevos y existentes.</v>
      </c>
      <c r="M18" s="588" t="str">
        <f>+'PAI 2021 - V4'!K17</f>
        <v>Analizar y potenciar canales de comunicación interna que generen y compartan mensajes integrales y de marca.</v>
      </c>
      <c r="N18" s="588" t="str">
        <f>+'PAI 2021 - V4'!L17</f>
        <v>Informe semestral sobre las acciones realizadas</v>
      </c>
      <c r="O18" s="515" t="str">
        <f>+'PAI 2021 - V4'!M17</f>
        <v>Medios de comunicación interna intervenidos</v>
      </c>
      <c r="P18" s="588" t="str">
        <f>+'PAI 2021 - V4'!N17</f>
        <v>1 Eficacia: (cumplimiento de metas)</v>
      </c>
      <c r="Q18" s="588" t="str">
        <f>+'PAI 2021 - V4'!O17</f>
        <v>Descripción de los medios de comunicación interna intervenidos.</v>
      </c>
      <c r="R18" s="588" t="str">
        <f>+'PAI 2021 - V4'!P17</f>
        <v>Número de medios de comunicación interna intervenidos / número de medios planeados a intervenir</v>
      </c>
      <c r="S18" s="588" t="s">
        <v>880</v>
      </c>
      <c r="T18" s="588" t="s">
        <v>881</v>
      </c>
      <c r="U18" s="588" t="str">
        <f>+'PAI 2021 - V4'!Q17</f>
        <v>Número (#).</v>
      </c>
      <c r="V18" s="588" t="str">
        <f>+'PAI 2021 - V4'!R17</f>
        <v>No aplica.</v>
      </c>
      <c r="W18" s="306">
        <f>+'PAI 2021 - V4'!S17</f>
        <v>2</v>
      </c>
      <c r="X18" s="588">
        <f>+'PAI 2021 - V4'!T17</f>
        <v>1</v>
      </c>
      <c r="Y18" s="588">
        <f>+'PAI 2021 - V4'!U17</f>
        <v>1</v>
      </c>
      <c r="Z18" s="588">
        <f>+'PAI 2021 - V4'!V17</f>
        <v>1</v>
      </c>
      <c r="AA18" s="401">
        <f>+'PAI 2021 - V4'!W17</f>
        <v>84900000</v>
      </c>
      <c r="AB18" s="401">
        <f>+'PAI 2021 - V4'!X17</f>
        <v>87447000</v>
      </c>
      <c r="AC18" s="401">
        <f>+'PAI 2021 - V4'!Y17</f>
        <v>90070410</v>
      </c>
      <c r="AD18" s="401">
        <f>+'PAI 2021 - V4'!Z17</f>
        <v>92772522.299999997</v>
      </c>
      <c r="AE18" s="588" t="str">
        <f>+'PAI 2021 - V4'!AA17</f>
        <v>1. Análisis de medios internos
2. Intervención - mejora
3. Posicionamiento nuevos medios.</v>
      </c>
      <c r="AF18" s="588" t="str">
        <f>+'PAI 2021 - V4'!AB17</f>
        <v>Cumplimiento de las actividades de gestión, según su ponderación.</v>
      </c>
      <c r="AG18" s="588" t="str">
        <f>+'PAI 2021 - V4'!AC17</f>
        <v>2 Eficiencia: (uso de los recursos)</v>
      </c>
      <c r="AH18" s="588" t="str">
        <f>+'PAI 2021 - V4'!AD17</f>
        <v>Porcentaje (%)</v>
      </c>
      <c r="AI18" s="588" t="str">
        <f>+'PAI 2021 - V4'!AE17</f>
        <v>Trimestral.</v>
      </c>
      <c r="AJ18" s="588" t="str">
        <f>+'PAI 2021 - V4'!AF17</f>
        <v>En los costos definidos para las actividades están relacionados con el valor mensual de los contratistas del equipo de trabajo de comunicaciones que se encargan de la tarea.</v>
      </c>
      <c r="AK18" s="306" t="str">
        <f>+'PAI 2021 - V4'!AG17</f>
        <v>Coordinador de Prensa y Comunicaciones.</v>
      </c>
      <c r="AL18" s="899" t="str">
        <f>+'PAI 2021 - V4'!AH17</f>
        <v>Contratista Prensa y Comunicaciones.</v>
      </c>
      <c r="AM18" s="913">
        <f>0/2</f>
        <v>0</v>
      </c>
      <c r="AN18" s="708"/>
      <c r="AO18" s="708"/>
      <c r="AP18" s="708">
        <f>2/2</f>
        <v>1</v>
      </c>
      <c r="AQ18" s="708"/>
      <c r="AR18" s="708"/>
      <c r="AS18" s="708">
        <f>2/2</f>
        <v>1</v>
      </c>
      <c r="AT18" s="708"/>
      <c r="AU18" s="708"/>
      <c r="AV18" s="708">
        <f>2/2</f>
        <v>1</v>
      </c>
      <c r="AW18" s="708"/>
      <c r="AX18" s="914"/>
      <c r="AY18" s="366" t="str">
        <f t="shared" si="1"/>
        <v>5.3.1</v>
      </c>
      <c r="AZ18" s="388" t="s">
        <v>1235</v>
      </c>
      <c r="BA18" s="590" t="s">
        <v>1208</v>
      </c>
      <c r="BB18" s="590" t="s">
        <v>1414</v>
      </c>
      <c r="BC18" s="590" t="s">
        <v>1415</v>
      </c>
      <c r="BD18" s="886" t="s">
        <v>1510</v>
      </c>
      <c r="BE18" s="888" t="s">
        <v>1006</v>
      </c>
      <c r="BG18" s="432" t="s">
        <v>1030</v>
      </c>
      <c r="BH18" s="407" t="s">
        <v>1027</v>
      </c>
      <c r="BI18" s="407" t="s">
        <v>1028</v>
      </c>
      <c r="BJ18" s="407" t="s">
        <v>1022</v>
      </c>
    </row>
    <row r="19" spans="1:62" ht="162" customHeight="1" x14ac:dyDescent="0.2">
      <c r="A19" s="12" t="str">
        <f>+'PAI 2021 - V4'!I18</f>
        <v>5.3.2</v>
      </c>
      <c r="B19" s="593" t="str">
        <f>+'PAI 2021 - V4'!A17</f>
        <v>11. Ciudades y comunidades sostenibles.
17. Alianzas para lograr los objetivos.</v>
      </c>
      <c r="C19" s="593" t="str">
        <f>+'PAI 2021 - V4'!B17</f>
        <v>Propósito 5
Logro de ciudad: 27 - 30</v>
      </c>
      <c r="D19" s="593" t="str">
        <f>+'PAI 2021 - V4'!C17</f>
        <v>Transparencia, acceso a la información y lucha contra la corrupción.
Fortalecimiento organizacional y simplificación de procesos.</v>
      </c>
      <c r="E19" s="593" t="str">
        <f>+'PAI 2021 - V4'!D17</f>
        <v>05 - Fortalecer la capacidad organizacional de Capital para ser una empresa transparente, eficiente y sostenible.</v>
      </c>
      <c r="F19" s="593" t="str">
        <f>+'PAI 2021 - V4'!E17</f>
        <v>5.3. Acompañamiento a las estrategias de comunicación interna planeadas o definidas por Capital en sus diferentes proyectos.</v>
      </c>
      <c r="G19" s="593" t="str">
        <f>+'PAI 2021 - V4'!F18</f>
        <v>Lograr el apoyo al 90% de campañas institucionales.</v>
      </c>
      <c r="H19" s="593" t="str">
        <f>+'PAI 2021 - V4'!G18</f>
        <v>Campañas ejecutadas de cada temática / Campañas solicitadas para cada temática</v>
      </c>
      <c r="I19" s="593" t="str">
        <f>+'PAI 2021 - V4'!H18</f>
        <v>1 Eficacia: (cumplimiento de metas)</v>
      </c>
      <c r="J19" s="588" t="str">
        <f>+'PAI 2021 - V4'!I18</f>
        <v>5.3.2</v>
      </c>
      <c r="K19" s="588" t="str">
        <f>+'PAI 2021 - V4'!J18</f>
        <v>Impulsar el sentido de pertenencia por la marca.</v>
      </c>
      <c r="L19" s="588" t="str">
        <f t="shared" si="0"/>
        <v>5.3.2 Impulsar el sentido de pertenencia por la marca.</v>
      </c>
      <c r="M19" s="588" t="str">
        <f>+'PAI 2021 - V4'!K18</f>
        <v>Trabajar con el área de Talento Humano para fortalecer la Cultura Organizacional y fomentar el sentido de pertenencia</v>
      </c>
      <c r="N19" s="588" t="str">
        <f>+'PAI 2021 - V4'!L18</f>
        <v>Informe semestral sobre las acciones realizadas</v>
      </c>
      <c r="O19" s="515" t="str">
        <f>+'PAI 2021 - V4'!M18</f>
        <v>Comunicaciones sobre cultura organizacional y sentido de pertenencia</v>
      </c>
      <c r="P19" s="588" t="str">
        <f>+'PAI 2021 - V4'!N18</f>
        <v>1 Eficacia: (cumplimiento de metas)</v>
      </c>
      <c r="Q19" s="588" t="str">
        <f>+'PAI 2021 - V4'!O18</f>
        <v>Realizar publicaciones, campañas, boletines y/o comunicados que ayuden a fomentar la cultura organizacional y el sentido de pertenencia.</v>
      </c>
      <c r="R19" s="515" t="str">
        <f>+'PAI 2021 - V4'!P18</f>
        <v>Número de comunicaciones gestionadas sobre cultura organizacional y sentido de pertenencia / Número de solicitudes de comunicación recibidas sobre cultura organizacional y sentido de pertenencia</v>
      </c>
      <c r="S19" s="515" t="s">
        <v>1118</v>
      </c>
      <c r="T19" s="515" t="s">
        <v>1119</v>
      </c>
      <c r="U19" s="588" t="str">
        <f>+'PAI 2021 - V4'!Q18</f>
        <v>Porcentaje (%).</v>
      </c>
      <c r="V19" s="588" t="str">
        <f>+'PAI 2021 - V4'!R18</f>
        <v>No aplica.</v>
      </c>
      <c r="W19" s="306">
        <f>+'PAI 2021 - V4'!S18</f>
        <v>1</v>
      </c>
      <c r="X19" s="588">
        <f>+'PAI 2021 - V4'!T18</f>
        <v>1</v>
      </c>
      <c r="Y19" s="588">
        <f>+'PAI 2021 - V4'!U18</f>
        <v>1</v>
      </c>
      <c r="Z19" s="588">
        <f>+'PAI 2021 - V4'!V18</f>
        <v>1</v>
      </c>
      <c r="AA19" s="401">
        <f>+'PAI 2021 - V4'!W18</f>
        <v>11000000</v>
      </c>
      <c r="AB19" s="401">
        <f>+'PAI 2021 - V4'!X18</f>
        <v>11330000</v>
      </c>
      <c r="AC19" s="401">
        <f>+'PAI 2021 - V4'!Y18</f>
        <v>11669900</v>
      </c>
      <c r="AD19" s="401">
        <f>+'PAI 2021 - V4'!Z18</f>
        <v>12019997</v>
      </c>
      <c r="AE19" s="588" t="str">
        <f>+'PAI 2021 - V4'!AA18</f>
        <v>*Definición de acciones con RRHH.
*Recopilación de información
*Realización de piezas gráficas.
*Socialización</v>
      </c>
      <c r="AF19" s="588" t="str">
        <f>+'PAI 2021 - V4'!AB18</f>
        <v>Número de acciones propuestas/Número de acciones realizadas</v>
      </c>
      <c r="AG19" s="588" t="str">
        <f>+'PAI 2021 - V4'!AC18</f>
        <v>2 Eficiencia: (uso de los recursos)</v>
      </c>
      <c r="AH19" s="588" t="str">
        <f>+'PAI 2021 - V4'!AD18</f>
        <v>Porcentaje (%)</v>
      </c>
      <c r="AI19" s="588" t="str">
        <f>+'PAI 2021 - V4'!AE18</f>
        <v>Trimestral.</v>
      </c>
      <c r="AJ19" s="588" t="str">
        <f>+'PAI 2021 - V4'!AF18</f>
        <v>En los costos definidos para las actividades están relacionados con el valor mensual de los contratistas del equipo de trabajo de comunicaciones que se encargan de la tarea.</v>
      </c>
      <c r="AK19" s="306" t="str">
        <f>+'PAI 2021 - V4'!AG18</f>
        <v>Coordinador de Prensa y Comunicaciones.</v>
      </c>
      <c r="AL19" s="899" t="str">
        <f>+'PAI 2021 - V4'!AH18</f>
        <v>Contratista Prensa y Comunicaciones.</v>
      </c>
      <c r="AM19" s="909">
        <f>2/2</f>
        <v>1</v>
      </c>
      <c r="AN19" s="704"/>
      <c r="AO19" s="704"/>
      <c r="AP19" s="704">
        <f>12/12</f>
        <v>1</v>
      </c>
      <c r="AQ19" s="704"/>
      <c r="AR19" s="704"/>
      <c r="AS19" s="704">
        <f>13/13</f>
        <v>1</v>
      </c>
      <c r="AT19" s="704"/>
      <c r="AU19" s="704"/>
      <c r="AV19" s="704">
        <f>12/12</f>
        <v>1</v>
      </c>
      <c r="AW19" s="704"/>
      <c r="AX19" s="910"/>
      <c r="AY19" s="366" t="str">
        <f t="shared" si="1"/>
        <v>5.3.2</v>
      </c>
      <c r="AZ19" s="388" t="s">
        <v>1236</v>
      </c>
      <c r="BA19" s="590" t="s">
        <v>1237</v>
      </c>
      <c r="BB19" s="590" t="s">
        <v>1416</v>
      </c>
      <c r="BC19" s="590" t="s">
        <v>1417</v>
      </c>
      <c r="BD19" s="886" t="s">
        <v>1511</v>
      </c>
      <c r="BE19" s="888" t="s">
        <v>1006</v>
      </c>
      <c r="BG19" s="432" t="s">
        <v>1029</v>
      </c>
      <c r="BH19" s="407" t="s">
        <v>1031</v>
      </c>
      <c r="BI19" s="407" t="s">
        <v>1032</v>
      </c>
      <c r="BJ19" s="432" t="s">
        <v>1023</v>
      </c>
    </row>
    <row r="20" spans="1:62" ht="153.75" customHeight="1" x14ac:dyDescent="0.2">
      <c r="A20" s="12" t="str">
        <f>+'PAI 2021 - V4'!I19</f>
        <v>5.3.3</v>
      </c>
      <c r="B20" s="593" t="str">
        <f>+'PAI 2021 - V4'!A17</f>
        <v>11. Ciudades y comunidades sostenibles.
17. Alianzas para lograr los objetivos.</v>
      </c>
      <c r="C20" s="593" t="str">
        <f>+'PAI 2021 - V4'!B17</f>
        <v>Propósito 5
Logro de ciudad: 27 - 30</v>
      </c>
      <c r="D20" s="593" t="str">
        <f>+'PAI 2021 - V4'!C17</f>
        <v>Transparencia, acceso a la información y lucha contra la corrupción.
Fortalecimiento organizacional y simplificación de procesos.</v>
      </c>
      <c r="E20" s="593" t="str">
        <f>+'PAI 2021 - V4'!D17</f>
        <v>05 - Fortalecer la capacidad organizacional de Capital para ser una empresa transparente, eficiente y sostenible.</v>
      </c>
      <c r="F20" s="593" t="str">
        <f>+'PAI 2021 - V4'!E17</f>
        <v>5.3. Acompañamiento a las estrategias de comunicación interna planeadas o definidas por Capital en sus diferentes proyectos.</v>
      </c>
      <c r="G20" s="593" t="str">
        <f>+'PAI 2021 - V4'!F18</f>
        <v>Lograr el apoyo al 90% de campañas institucionales.</v>
      </c>
      <c r="H20" s="593" t="str">
        <f>+'PAI 2021 - V4'!G18</f>
        <v>Campañas ejecutadas de cada temática / Campañas solicitadas para cada temática</v>
      </c>
      <c r="I20" s="593" t="str">
        <f>+'PAI 2021 - V4'!H18</f>
        <v>1 Eficacia: (cumplimiento de metas)</v>
      </c>
      <c r="J20" s="588" t="str">
        <f>+'PAI 2021 - V4'!I19</f>
        <v>5.3.3</v>
      </c>
      <c r="K20" s="588" t="str">
        <f>+'PAI 2021 - V4'!J19</f>
        <v>Fortalecer y desarrollar la divulgación de la campaña de Bioseguridad de Capital.</v>
      </c>
      <c r="L20" s="588" t="str">
        <f t="shared" si="0"/>
        <v>5.3.3 Fortalecer y desarrollar la divulgación de la campaña de Bioseguridad de Capital.</v>
      </c>
      <c r="M20" s="588" t="str">
        <f>+'PAI 2021 - V4'!K19</f>
        <v xml:space="preserve"> Trabajar con el área de Talento Humano para el desarrollo de la campaña.</v>
      </c>
      <c r="N20" s="588" t="str">
        <f>+'PAI 2021 - V4'!L19</f>
        <v>Informe semestral sobre las acciones realizadas</v>
      </c>
      <c r="O20" s="515" t="str">
        <f>+'PAI 2021 - V4'!M19</f>
        <v>Comunicaciones sobre Bioseguridad</v>
      </c>
      <c r="P20" s="588" t="str">
        <f>+'PAI 2021 - V4'!N19</f>
        <v>1 Eficacia: (cumplimiento de metas)</v>
      </c>
      <c r="Q20" s="588" t="str">
        <f>+'PAI 2021 - V4'!O19</f>
        <v>Creación de piezas gráficas, publicaciones, videos y boletines para socializar la campaña.</v>
      </c>
      <c r="R20" s="515" t="str">
        <f>+'PAI 2021 - V4'!P19</f>
        <v>Número de comunicaciones gestionadas en asuntos de Bioseguridad / Número de solicitudes de comunicación recibidas en asuntos de Bioseguridad</v>
      </c>
      <c r="S20" s="515" t="s">
        <v>1121</v>
      </c>
      <c r="T20" s="515" t="s">
        <v>1122</v>
      </c>
      <c r="U20" s="588" t="str">
        <f>+'PAI 2021 - V4'!Q19</f>
        <v>Porcentaje (%).</v>
      </c>
      <c r="V20" s="588" t="str">
        <f>+'PAI 2021 - V4'!R19</f>
        <v>No aplica.</v>
      </c>
      <c r="W20" s="306">
        <f>+'PAI 2021 - V4'!S19</f>
        <v>1</v>
      </c>
      <c r="X20" s="588">
        <f>+'PAI 2021 - V4'!T19</f>
        <v>1</v>
      </c>
      <c r="Y20" s="588">
        <f>+'PAI 2021 - V4'!U19</f>
        <v>1</v>
      </c>
      <c r="Z20" s="588">
        <f>+'PAI 2021 - V4'!V19</f>
        <v>1</v>
      </c>
      <c r="AA20" s="401">
        <f>+'PAI 2021 - V4'!W19</f>
        <v>5000000</v>
      </c>
      <c r="AB20" s="401">
        <f>+'PAI 2021 - V4'!X19</f>
        <v>5150000</v>
      </c>
      <c r="AC20" s="401">
        <f>+'PAI 2021 - V4'!Y19</f>
        <v>5304500</v>
      </c>
      <c r="AD20" s="401">
        <f>+'PAI 2021 - V4'!Z19</f>
        <v>5463635</v>
      </c>
      <c r="AE20" s="588" t="str">
        <f>+'PAI 2021 - V4'!AA19</f>
        <v>*Definición de acciones con RRHH.
*Recopilación de información
*Realización de piezas gráficas, videos.
*Socialización</v>
      </c>
      <c r="AF20" s="588" t="str">
        <f>+'PAI 2021 - V4'!AB19</f>
        <v>Número de acciones propuestas/Número de acciones realizadas</v>
      </c>
      <c r="AG20" s="588" t="str">
        <f>+'PAI 2021 - V4'!AC19</f>
        <v>2 Eficiencia: (uso de los recursos)</v>
      </c>
      <c r="AH20" s="588" t="str">
        <f>+'PAI 2021 - V4'!AD19</f>
        <v>Porcentaje (%)</v>
      </c>
      <c r="AI20" s="588" t="str">
        <f>+'PAI 2021 - V4'!AE19</f>
        <v>Trimestral.</v>
      </c>
      <c r="AJ20" s="588" t="str">
        <f>+'PAI 2021 - V4'!AF19</f>
        <v>En los costos definidos para las actividades están relacionados con el valor mensual de los contratistas del equipo de trabajo de comunicaciones que se encargan de la tarea.</v>
      </c>
      <c r="AK20" s="306" t="str">
        <f>+'PAI 2021 - V4'!AG19</f>
        <v>Coordinador de Prensa y Comunicaciones.</v>
      </c>
      <c r="AL20" s="899" t="str">
        <f>+'PAI 2021 - V4'!AH19</f>
        <v>Contratista Prensa y Comunicaciones.</v>
      </c>
      <c r="AM20" s="909">
        <f>9/9</f>
        <v>1</v>
      </c>
      <c r="AN20" s="704"/>
      <c r="AO20" s="704"/>
      <c r="AP20" s="704">
        <f>13/13</f>
        <v>1</v>
      </c>
      <c r="AQ20" s="704"/>
      <c r="AR20" s="704"/>
      <c r="AS20" s="704">
        <f>22/22</f>
        <v>1</v>
      </c>
      <c r="AT20" s="704"/>
      <c r="AU20" s="704"/>
      <c r="AV20" s="704">
        <f>16/16</f>
        <v>1</v>
      </c>
      <c r="AW20" s="704"/>
      <c r="AX20" s="910"/>
      <c r="AY20" s="366" t="str">
        <f t="shared" si="1"/>
        <v>5.3.3</v>
      </c>
      <c r="AZ20" s="388" t="s">
        <v>971</v>
      </c>
      <c r="BA20" s="590" t="s">
        <v>1238</v>
      </c>
      <c r="BB20" s="590" t="s">
        <v>1418</v>
      </c>
      <c r="BC20" s="590" t="s">
        <v>1419</v>
      </c>
      <c r="BD20" s="886" t="s">
        <v>1512</v>
      </c>
      <c r="BE20" s="888" t="s">
        <v>1006</v>
      </c>
      <c r="BG20" s="432" t="s">
        <v>1029</v>
      </c>
      <c r="BH20" s="432" t="s">
        <v>1031</v>
      </c>
      <c r="BI20" s="432" t="s">
        <v>1033</v>
      </c>
      <c r="BJ20" s="432" t="s">
        <v>1023</v>
      </c>
    </row>
    <row r="21" spans="1:62" ht="158.25" customHeight="1" x14ac:dyDescent="0.2">
      <c r="A21" s="12" t="str">
        <f>+'PAI 2021 - V4'!I20</f>
        <v>5.3.4</v>
      </c>
      <c r="B21" s="593" t="str">
        <f>+'PAI 2021 - V4'!A17</f>
        <v>11. Ciudades y comunidades sostenibles.
17. Alianzas para lograr los objetivos.</v>
      </c>
      <c r="C21" s="593" t="str">
        <f>+'PAI 2021 - V4'!B17</f>
        <v>Propósito 5
Logro de ciudad: 27 - 30</v>
      </c>
      <c r="D21" s="593" t="str">
        <f>+'PAI 2021 - V4'!C17</f>
        <v>Transparencia, acceso a la información y lucha contra la corrupción.
Fortalecimiento organizacional y simplificación de procesos.</v>
      </c>
      <c r="E21" s="593" t="str">
        <f>+'PAI 2021 - V4'!D17</f>
        <v>05 - Fortalecer la capacidad organizacional de Capital para ser una empresa transparente, eficiente y sostenible.</v>
      </c>
      <c r="F21" s="593" t="str">
        <f>+'PAI 2021 - V4'!E17</f>
        <v>5.3. Acompañamiento a las estrategias de comunicación interna planeadas o definidas por Capital en sus diferentes proyectos.</v>
      </c>
      <c r="G21" s="593" t="str">
        <f>+'PAI 2021 - V4'!F18</f>
        <v>Lograr el apoyo al 90% de campañas institucionales.</v>
      </c>
      <c r="H21" s="593" t="str">
        <f>+'PAI 2021 - V4'!G18</f>
        <v>Campañas ejecutadas de cada temática / Campañas solicitadas para cada temática</v>
      </c>
      <c r="I21" s="593" t="str">
        <f>+'PAI 2021 - V4'!H18</f>
        <v>1 Eficacia: (cumplimiento de metas)</v>
      </c>
      <c r="J21" s="588" t="str">
        <f>+'PAI 2021 - V4'!I20</f>
        <v>5.3.4</v>
      </c>
      <c r="K21" s="588" t="str">
        <f>+'PAI 2021 - V4'!J20</f>
        <v>Divulgar y fortalecer las campañas de comunicación interna de las diferentes áreas.</v>
      </c>
      <c r="L21" s="588" t="str">
        <f t="shared" si="0"/>
        <v>5.3.4 Divulgar y fortalecer las campañas de comunicación interna de las diferentes áreas.</v>
      </c>
      <c r="M21" s="588" t="str">
        <f>+'PAI 2021 - V4'!K20</f>
        <v>Desarrollar un trabajo conjunto con las áreas responsables de la campaña o proyecto.</v>
      </c>
      <c r="N21" s="588" t="str">
        <f>+'PAI 2021 - V4'!L20</f>
        <v>Informe semestral sobre las acciones realizadas</v>
      </c>
      <c r="O21" s="515" t="str">
        <f>+'PAI 2021 - V4'!M20</f>
        <v>Gestión de las comunicaciones internas</v>
      </c>
      <c r="P21" s="588" t="str">
        <f>+'PAI 2021 - V4'!N20</f>
        <v>1 Eficacia: (cumplimiento de metas)</v>
      </c>
      <c r="Q21" s="588" t="str">
        <f>+'PAI 2021 - V4'!O20</f>
        <v>Definición del protocolo de procesos de divulgación y ejecución de campañas/proyectos.</v>
      </c>
      <c r="R21" s="515" t="str">
        <f>+'PAI 2021 - V4'!P20</f>
        <v>Número de comunicaciones gestionadas sobre campañas y/o proyectos institucionales / Número de solicitudes de comunicación recibidas sobre campañas y/o proyectos institucionales</v>
      </c>
      <c r="S21" s="515" t="s">
        <v>1124</v>
      </c>
      <c r="T21" s="515" t="s">
        <v>1125</v>
      </c>
      <c r="U21" s="588" t="str">
        <f>+'PAI 2021 - V4'!Q20</f>
        <v>Porcentaje (%).</v>
      </c>
      <c r="V21" s="588" t="str">
        <f>+'PAI 2021 - V4'!R20</f>
        <v>No aplica.</v>
      </c>
      <c r="W21" s="306">
        <f>+'PAI 2021 - V4'!S20</f>
        <v>1</v>
      </c>
      <c r="X21" s="588">
        <f>+'PAI 2021 - V4'!T20</f>
        <v>1</v>
      </c>
      <c r="Y21" s="588">
        <f>+'PAI 2021 - V4'!U20</f>
        <v>1</v>
      </c>
      <c r="Z21" s="588">
        <f>+'PAI 2021 - V4'!V20</f>
        <v>1</v>
      </c>
      <c r="AA21" s="401">
        <f>+'PAI 2021 - V4'!W20</f>
        <v>10000000</v>
      </c>
      <c r="AB21" s="401">
        <f>+'PAI 2021 - V4'!X20</f>
        <v>10300000</v>
      </c>
      <c r="AC21" s="401">
        <f>+'PAI 2021 - V4'!Y20</f>
        <v>10609000</v>
      </c>
      <c r="AD21" s="401">
        <f>+'PAI 2021 - V4'!Z20</f>
        <v>10927270</v>
      </c>
      <c r="AE21" s="588" t="str">
        <f>+'PAI 2021 - V4'!AA20</f>
        <v>*Reunión de presentación de campaña y estrategia.
*Definición del plan táctico para ejecutar la estrategia de la campaña.
*Ejecución del plan.</v>
      </c>
      <c r="AF21" s="588" t="str">
        <f>+'PAI 2021 - V4'!AB20</f>
        <v>Número de acciones propuestas/Número de acciones realizadas</v>
      </c>
      <c r="AG21" s="588" t="str">
        <f>+'PAI 2021 - V4'!AC20</f>
        <v>2 Eficiencia: (uso de los recursos)</v>
      </c>
      <c r="AH21" s="588" t="str">
        <f>+'PAI 2021 - V4'!AD20</f>
        <v>Porcentaje (%)</v>
      </c>
      <c r="AI21" s="588" t="str">
        <f>+'PAI 2021 - V4'!AE20</f>
        <v>Trimestral.</v>
      </c>
      <c r="AJ21" s="588" t="str">
        <f>+'PAI 2021 - V4'!AF20</f>
        <v>En los costos definidos para las actividades están relacionados con el valor mensual de los contratistas del equipo de trabajo de comunicaciones que se encargan de la tarea.</v>
      </c>
      <c r="AK21" s="306" t="str">
        <f>+'PAI 2021 - V4'!AG20</f>
        <v>Coordinador de Prensa y Comunicaciones.</v>
      </c>
      <c r="AL21" s="899" t="str">
        <f>+'PAI 2021 - V4'!AH20</f>
        <v>Contratista Prensa y Comunicaciones.</v>
      </c>
      <c r="AM21" s="909">
        <f>5/5</f>
        <v>1</v>
      </c>
      <c r="AN21" s="704"/>
      <c r="AO21" s="704"/>
      <c r="AP21" s="704">
        <f>8/8</f>
        <v>1</v>
      </c>
      <c r="AQ21" s="704"/>
      <c r="AR21" s="704"/>
      <c r="AS21" s="704">
        <f>25/25</f>
        <v>1</v>
      </c>
      <c r="AT21" s="704"/>
      <c r="AU21" s="704"/>
      <c r="AV21" s="704">
        <f>15/15</f>
        <v>1</v>
      </c>
      <c r="AW21" s="704"/>
      <c r="AX21" s="910"/>
      <c r="AY21" s="366" t="str">
        <f t="shared" si="1"/>
        <v>5.3.4</v>
      </c>
      <c r="AZ21" s="388" t="s">
        <v>1239</v>
      </c>
      <c r="BA21" s="590" t="s">
        <v>1240</v>
      </c>
      <c r="BB21" s="590" t="s">
        <v>1420</v>
      </c>
      <c r="BC21" s="590" t="s">
        <v>1421</v>
      </c>
      <c r="BD21" s="886" t="s">
        <v>1513</v>
      </c>
      <c r="BE21" s="888" t="s">
        <v>1006</v>
      </c>
      <c r="BG21" s="432" t="s">
        <v>1029</v>
      </c>
      <c r="BH21" s="432" t="s">
        <v>1031</v>
      </c>
      <c r="BI21" s="432" t="s">
        <v>1034</v>
      </c>
      <c r="BJ21" s="432" t="s">
        <v>1023</v>
      </c>
    </row>
    <row r="22" spans="1:62" ht="409.5" customHeight="1" x14ac:dyDescent="0.2">
      <c r="A22" s="12" t="str">
        <f>+'PAI 2021 - V4'!I21</f>
        <v>1.2.1</v>
      </c>
      <c r="B22" s="593" t="str">
        <f>+'PAI 2021 - V4'!A21</f>
        <v>3. Salud y bienestar.
4. Educación de calidad.
5. Igualdad de Género.
9. Industria, innovación e infraestructura.
10. Reducción de las desigualdades.
17. Alianzas para lograr los objetivos.</v>
      </c>
      <c r="C22" s="593" t="str">
        <f>+'PAI 2021 - V4'!B21</f>
        <v>Propósito 1
Logro de ciudad: 3 - 9 - 10
Propósito 3
Logro de ciudad: 22 - 23
Propósito 5
Logro de ciudad: 30</v>
      </c>
      <c r="D22" s="593" t="str">
        <f>+'PAI 2021 - V4'!C21</f>
        <v>Participación ciudadana en la gestión pública.</v>
      </c>
      <c r="E22" s="593" t="str">
        <f>+'PAI 2021 - V4'!D21</f>
        <v>02 - Implementar prácticas de innovación en diseño, gestión, producción y circulación de contenidos para el posicionamiento del Sistema de Comunicación Pública en la Bogotá Región y la generación de múltiples audiencias ciudadanas.</v>
      </c>
      <c r="F22" s="593" t="str">
        <f>+'PAI 2021 - V4'!E21</f>
        <v>1.2. Cocreación con el sector audiovisual local garantizando múltiples miradas de Bogotá - región, así como, la innovación en los procesos de diseño, producción y/o circulación de contenidos.</v>
      </c>
      <c r="G22" s="593" t="str">
        <f>+'PAI 2021 - V4'!F21</f>
        <v>Desarrollar 4 estrategias que incentiven la cocreación  con el sector audiovisual local (1 por vigencia).</v>
      </c>
      <c r="H22" s="593" t="str">
        <f>+'PAI 2021 - V4'!G21</f>
        <v>Número de estrategias ejecutadas para la cocreación con el sector audiovisual local.</v>
      </c>
      <c r="I22" s="593" t="str">
        <f>+'PAI 2021 - V4'!H21</f>
        <v>3 Efectividad (impacto o beneficios generados)</v>
      </c>
      <c r="J22" s="588" t="str">
        <f>+'PAI 2021 - V4'!I21</f>
        <v>1.2.1</v>
      </c>
      <c r="K22" s="588" t="str">
        <f>+'PAI 2021 - V4'!J21</f>
        <v>Proyecto audiovisual de cocreación de contenidos con el sector audiovisual local.</v>
      </c>
      <c r="L22" s="588" t="str">
        <f t="shared" si="0"/>
        <v>1.2.1 Proyecto audiovisual de cocreación de contenidos con el sector audiovisual local.</v>
      </c>
      <c r="M22" s="588" t="str">
        <f>+'PAI 2021 - V4'!K21</f>
        <v>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v>
      </c>
      <c r="N22" s="588" t="str">
        <f>+'PAI 2021 - V4'!L21</f>
        <v>Condiciones de participación de llamados públicos socializados.</v>
      </c>
      <c r="O22" s="588" t="str">
        <f>+'PAI 2021 - V4'!M21</f>
        <v>Porcentaje mínimo de presupuesto destinado a cocreación de contenidos del sector audiovisual en Capital</v>
      </c>
      <c r="P22" s="588" t="str">
        <f>+'PAI 2021 - V4'!N21</f>
        <v>2 Eficiencia: (uso de los recursos)</v>
      </c>
      <c r="Q22" s="588" t="str">
        <f>+'PAI 2021 - V4'!O21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
La expresión diseñado: hará referencia al diseño del plan anual de adquisiciones y la inclusión allí de los valores (presupuesto) a comprometer durante la vigencia asociadas a los llamados públicos de cocreación con sector audiovisual local
La expresión apropiado: hará referencia a la etapa precontractual realizada para efectuar los llamados públicos de cocreación con sector audiovisual local
La expresión comprometido: hará  referencia a los contratos suscritos con el sector audiovisual local</v>
      </c>
      <c r="R22" s="588" t="str">
        <f>+'PAI 2021 - V4'!P21</f>
        <v>Presupuesto diseñado, apropiado y/o comprometido para llamados públicos de cocreación con sector audiovisual local / Presupuesto total para la producción de contenidos propios recursos hacienda y FuTic plan de inversión</v>
      </c>
      <c r="S22" s="592" t="s">
        <v>1241</v>
      </c>
      <c r="T22" s="592" t="s">
        <v>882</v>
      </c>
      <c r="U22" s="588" t="str">
        <f>+'PAI 2021 - V4'!Q21</f>
        <v>Porcentaje (%).</v>
      </c>
      <c r="V22" s="403">
        <f>+'PAI 2021 - V4'!R21</f>
        <v>0.2</v>
      </c>
      <c r="W22" s="442" t="str">
        <f>+'PAI 2021 - V4'!S21</f>
        <v>25% a 40%</v>
      </c>
      <c r="X22" s="400">
        <f>+'PAI 2021 - V4'!T21</f>
        <v>0.25</v>
      </c>
      <c r="Y22" s="400">
        <f>+'PAI 2021 - V4'!U21</f>
        <v>0.3</v>
      </c>
      <c r="Z22" s="400">
        <f>+'PAI 2021 - V4'!V21</f>
        <v>0.3</v>
      </c>
      <c r="AA22" s="401">
        <f>+'PAI 2021 - V4'!W21</f>
        <v>2600000000</v>
      </c>
      <c r="AB22" s="401">
        <f>+'PAI 2021 - V4'!X21</f>
        <v>2600000000</v>
      </c>
      <c r="AC22" s="401">
        <f>+'PAI 2021 - V4'!Y21</f>
        <v>3000000000</v>
      </c>
      <c r="AD22" s="401">
        <f>+'PAI 2021 - V4'!Z21</f>
        <v>3000000000</v>
      </c>
      <c r="AE22" s="588" t="str">
        <f>+'PAI 2021 - V4'!AA21</f>
        <v>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v>
      </c>
      <c r="AF22" s="588" t="str">
        <f>+'PAI 2021 - V4'!AB21</f>
        <v>Cumplimiento del porcentaje de avance del proceso completo (suma de las actividades de gestión).</v>
      </c>
      <c r="AG22" s="588" t="str">
        <f>+'PAI 2021 - V4'!AC21</f>
        <v>2 Eficiencia: (uso de los recursos)</v>
      </c>
      <c r="AH22" s="588" t="str">
        <f>+'PAI 2021 - V4'!AD21</f>
        <v>Porcentaje (%)</v>
      </c>
      <c r="AI22" s="588" t="str">
        <f>+'PAI 2021 - V4'!AE21</f>
        <v>Trimestral.</v>
      </c>
      <c r="AJ22" s="588" t="str">
        <f>+'PAI 2021 - V4'!AF21</f>
        <v>Se realizará la medición teniendo en cuenta intervalos de cumplimiento del 25% al 40% del presupuesto total asignado a la Dirección Operativa, será asignado a los llamados públicos.</v>
      </c>
      <c r="AK22" s="306" t="str">
        <f>+'PAI 2021 - V4'!AG21</f>
        <v>Director Operativo.</v>
      </c>
      <c r="AL22" s="899" t="str">
        <f>+'PAI 2021 - V4'!AH21</f>
        <v>Coordinadora de producción - Líder de contenidos de ciudadanía, cultura y educación</v>
      </c>
      <c r="AM22" s="913">
        <f>3545000000/12099965328</f>
        <v>0.29297604612111333</v>
      </c>
      <c r="AN22" s="708"/>
      <c r="AO22" s="708"/>
      <c r="AP22" s="708">
        <f>3359147917/12099965328</f>
        <v>0.27761632582754125</v>
      </c>
      <c r="AQ22" s="708"/>
      <c r="AR22" s="708"/>
      <c r="AS22" s="708">
        <f>3347147917/8558626628</f>
        <v>0.39108469880548691</v>
      </c>
      <c r="AT22" s="708"/>
      <c r="AU22" s="708"/>
      <c r="AV22" s="708">
        <f>(2916947917+178223106)/8547885514</f>
        <v>0.36209785659045501</v>
      </c>
      <c r="AW22" s="708"/>
      <c r="AX22" s="914"/>
      <c r="AY22" s="366" t="str">
        <f t="shared" si="1"/>
        <v>1.2.1</v>
      </c>
      <c r="AZ22" s="388" t="s">
        <v>981</v>
      </c>
      <c r="BA22" s="590" t="s">
        <v>1283</v>
      </c>
      <c r="BB22" s="590" t="s">
        <v>1306</v>
      </c>
      <c r="BC22" s="590" t="s">
        <v>1422</v>
      </c>
      <c r="BD22" s="886" t="s">
        <v>1514</v>
      </c>
      <c r="BE22" s="888" t="s">
        <v>1006</v>
      </c>
      <c r="BG22" s="432" t="s">
        <v>1020</v>
      </c>
      <c r="BH22" s="432" t="s">
        <v>1036</v>
      </c>
      <c r="BI22" s="407" t="s">
        <v>1242</v>
      </c>
      <c r="BJ22" s="432" t="s">
        <v>1023</v>
      </c>
    </row>
    <row r="23" spans="1:62" ht="260.25" customHeight="1" x14ac:dyDescent="0.2">
      <c r="A23" s="12" t="str">
        <f>+'PAI 2021 - V4'!I22</f>
        <v>1.2.2</v>
      </c>
      <c r="B23" s="593" t="str">
        <f>+'PAI 2021 - V4'!A21</f>
        <v>3. Salud y bienestar.
4. Educación de calidad.
5. Igualdad de Género.
9. Industria, innovación e infraestructura.
10. Reducción de las desigualdades.
17. Alianzas para lograr los objetivos.</v>
      </c>
      <c r="C23" s="593" t="str">
        <f>+'PAI 2021 - V4'!B21</f>
        <v>Propósito 1
Logro de ciudad: 3 - 9 - 10
Propósito 3
Logro de ciudad: 22 - 23
Propósito 5
Logro de ciudad: 30</v>
      </c>
      <c r="D23" s="593" t="str">
        <f>+'PAI 2021 - V4'!C21</f>
        <v>Participación ciudadana en la gestión pública.</v>
      </c>
      <c r="E23" s="593" t="str">
        <f>+'PAI 2021 - V4'!D21</f>
        <v>02 - Implementar prácticas de innovación en diseño, gestión, producción y circulación de contenidos para el posicionamiento del Sistema de Comunicación Pública en la Bogotá Región y la generación de múltiples audiencias ciudadanas.</v>
      </c>
      <c r="F23" s="593" t="str">
        <f>+'PAI 2021 - V4'!E21</f>
        <v>1.2. Cocreación con el sector audiovisual local garantizando múltiples miradas de Bogotá - región, así como, la innovación en los procesos de diseño, producción y/o circulación de contenidos.</v>
      </c>
      <c r="G23" s="593" t="str">
        <f>+'PAI 2021 - V4'!F21</f>
        <v>Desarrollar 4 estrategias que incentiven la cocreación  con el sector audiovisual local (1 por vigencia).</v>
      </c>
      <c r="H23" s="593" t="str">
        <f>+'PAI 2021 - V4'!G21</f>
        <v>Número de estrategias ejecutadas para la cocreación con el sector audiovisual local.</v>
      </c>
      <c r="I23" s="593" t="str">
        <f>+'PAI 2021 - V4'!H21</f>
        <v>3 Efectividad (impacto o beneficios generados)</v>
      </c>
      <c r="J23" s="588" t="str">
        <f>+'PAI 2021 - V4'!I22</f>
        <v>1.2.2</v>
      </c>
      <c r="K23" s="588" t="str">
        <f>+'PAI 2021 - V4'!J21</f>
        <v>Proyecto audiovisual de cocreación de contenidos con el sector audiovisual local.</v>
      </c>
      <c r="L23" s="588" t="str">
        <f t="shared" ref="L23" si="2">CONCATENATE(J23," ",K23)</f>
        <v>1.2.2 Proyecto audiovisual de cocreación de contenidos con el sector audiovisual local.</v>
      </c>
      <c r="M23" s="588" t="str">
        <f>+'PAI 2021 - V4'!K21</f>
        <v>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v>
      </c>
      <c r="N23" s="588" t="str">
        <f>+'PAI 2021 - V4'!L21</f>
        <v>Condiciones de participación de llamados públicos socializados.</v>
      </c>
      <c r="O23" s="588" t="str">
        <f>+'PAI 2021 - V4'!M21</f>
        <v>Porcentaje mínimo de presupuesto destinado a cocreación de contenidos del sector audiovisual en Capital</v>
      </c>
      <c r="P23" s="588" t="str">
        <f>+'PAI 2021 - V4'!N21</f>
        <v>2 Eficiencia: (uso de los recursos)</v>
      </c>
      <c r="Q23" s="588" t="str">
        <f>+'PAI 2021 - V4'!O21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
La expresión diseñado: hará referencia al diseño del plan anual de adquisiciones y la inclusión allí de los valores (presupuesto) a comprometer durante la vigencia asociadas a los llamados públicos de cocreación con sector audiovisual local
La expresión apropiado: hará referencia a la etapa precontractual realizada para efectuar los llamados públicos de cocreación con sector audiovisual local
La expresión comprometido: hará  referencia a los contratos suscritos con el sector audiovisual local</v>
      </c>
      <c r="R23" s="588" t="s">
        <v>944</v>
      </c>
      <c r="S23" s="592" t="s">
        <v>973</v>
      </c>
      <c r="T23" s="592" t="s">
        <v>974</v>
      </c>
      <c r="U23" s="588" t="str">
        <f>+'PAI 2021 - V4'!Q21</f>
        <v>Porcentaje (%).</v>
      </c>
      <c r="V23" s="403" t="str">
        <f>+'PAI 2021 - V4'!R22</f>
        <v>20% al 30%</v>
      </c>
      <c r="W23" s="442" t="str">
        <f>+'PAI 2021 - V4'!S22</f>
        <v>20% a 30%</v>
      </c>
      <c r="X23" s="400" t="str">
        <f>+'PAI 2021 - V4'!T22</f>
        <v>20% a 30%</v>
      </c>
      <c r="Y23" s="400" t="str">
        <f>+'PAI 2021 - V4'!U22</f>
        <v>20% a 30%</v>
      </c>
      <c r="Z23" s="400" t="str">
        <f>+'PAI 2021 - V4'!V22</f>
        <v>20% a 30%</v>
      </c>
      <c r="AA23" s="401">
        <f>+'PAI 2021 - V4'!W22</f>
        <v>0</v>
      </c>
      <c r="AB23" s="401">
        <f>+'PAI 2021 - V4'!X22</f>
        <v>0</v>
      </c>
      <c r="AC23" s="401">
        <f>+'PAI 2021 - V4'!Y22</f>
        <v>0</v>
      </c>
      <c r="AD23" s="401">
        <f>+'PAI 2021 - V4'!Z22</f>
        <v>0</v>
      </c>
      <c r="AE23" s="588" t="str">
        <f>+'PAI 2021 - V4'!AA22</f>
        <v>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v>
      </c>
      <c r="AF23" s="588" t="str">
        <f>+'PAI 2021 - V4'!AB22</f>
        <v>Programación infantil y adolescentes en la pantalla principal de Capital
Formula: (Promedio de horas de contenido infantil emitidas en el trimestre+ promedio de horas de contenido para adolescente emitidas en el trimestre)/ (Promedio de horas totales emitidos en el trimestre) *100 %</v>
      </c>
      <c r="AG23" s="588" t="str">
        <f>+'PAI 2021 - V4'!AC22</f>
        <v>2 Eficiencia: (uso de los recursos)</v>
      </c>
      <c r="AH23" s="588" t="str">
        <f>+'PAI 2021 - V4'!AD22</f>
        <v>Porcentaje (%)</v>
      </c>
      <c r="AI23" s="588" t="str">
        <f>+'PAI 2021 - V4'!AE22</f>
        <v>Trimestral.</v>
      </c>
      <c r="AJ23" s="588" t="str">
        <f>+'PAI 2021 - V4'!AF22</f>
        <v>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v>
      </c>
      <c r="AK23" s="306" t="str">
        <f>+'PAI 2021 - V4'!AG22</f>
        <v>Director Operativo.</v>
      </c>
      <c r="AL23" s="899" t="str">
        <f>+'PAI 2021 - V4'!AH22</f>
        <v>Coordinador de Programación.</v>
      </c>
      <c r="AM23" s="913">
        <f>89/535</f>
        <v>0.16635514018691588</v>
      </c>
      <c r="AN23" s="708"/>
      <c r="AO23" s="708"/>
      <c r="AP23" s="708">
        <f>(51+110)/((543+555+531)/3)</f>
        <v>0.2965009208103131</v>
      </c>
      <c r="AQ23" s="708"/>
      <c r="AR23" s="708"/>
      <c r="AS23" s="708">
        <f>130/562</f>
        <v>0.23131672597864769</v>
      </c>
      <c r="AT23" s="708"/>
      <c r="AU23" s="708"/>
      <c r="AV23" s="708">
        <f>(85+44)/557</f>
        <v>0.23159784560143626</v>
      </c>
      <c r="AW23" s="708"/>
      <c r="AX23" s="914"/>
      <c r="AY23" s="366" t="str">
        <f t="shared" si="1"/>
        <v>1.2.2</v>
      </c>
      <c r="AZ23" s="388" t="s">
        <v>1243</v>
      </c>
      <c r="BA23" s="590" t="s">
        <v>1209</v>
      </c>
      <c r="BB23" s="590" t="s">
        <v>1423</v>
      </c>
      <c r="BC23" s="590" t="s">
        <v>1381</v>
      </c>
      <c r="BD23" s="886" t="s">
        <v>1515</v>
      </c>
      <c r="BE23" s="888" t="s">
        <v>1006</v>
      </c>
      <c r="BG23" s="432" t="s">
        <v>1020</v>
      </c>
      <c r="BH23" s="432" t="s">
        <v>1035</v>
      </c>
      <c r="BI23" s="432" t="s">
        <v>1242</v>
      </c>
      <c r="BJ23" s="432" t="s">
        <v>1023</v>
      </c>
    </row>
    <row r="24" spans="1:62" ht="262.5" customHeight="1" x14ac:dyDescent="0.2">
      <c r="A24" s="12" t="str">
        <f>+'PAI 2021 - V4'!I23</f>
        <v>2.2.1</v>
      </c>
      <c r="B24" s="593" t="str">
        <f>+'PAI 2021 - V4'!A23</f>
        <v>3. Salud y bienestar.
4. Educación de calidad.
5. Igualdad de Género.
9. Industria, innovación e infraestructura.
10. Reducción de las desigualdades.
17. Alianzas para lograr los objetivos.</v>
      </c>
      <c r="C24" s="593" t="str">
        <f>+'PAI 2021 - V4'!B23</f>
        <v>Propósito 1
Logro de ciudad: 3 - 9 - 10
Propósito 3
Logro de ciudad: 22 - 23
Propósito 5
Logro de ciudad: 30</v>
      </c>
      <c r="D24" s="593" t="str">
        <f>+'PAI 2021 - V4'!C23</f>
        <v>Participación ciudadana en la gestión pública.
Gestión del conocimiento y la innovación.
Gobierno Abierto.</v>
      </c>
      <c r="E24" s="593" t="str">
        <f>+'PAI 2021 - V4'!D23</f>
        <v>01 - Consolidar una oferta de contenidos de interés ciudadano en diferentes formatos y plataformas que promuevan la participación de la ciudadanía.</v>
      </c>
      <c r="F24" s="593" t="str">
        <f>+'PAI 2021 - V4'!E23</f>
        <v>2.2. Cocreación con los ciudadanos de todas las edades garantizando múltiples miradas de Bogotá - región, así como, la innovación en los procesos de diseño, producción y/o circulación de contenidos.</v>
      </c>
      <c r="G24" s="593" t="str">
        <f>+'PAI 2021 - V4'!F23</f>
        <v>Desarrollar estrategias que incentiven la cocreación con la ciudadanía (mínimo una por año)</v>
      </c>
      <c r="H24" s="593" t="str">
        <f>+'PAI 2021 - V4'!G23</f>
        <v>Número de estrategias ejecutadas para la cocreación con la ciudadanía.</v>
      </c>
      <c r="I24" s="593" t="str">
        <f>+'PAI 2021 - V4'!H23</f>
        <v>3 Efectividad (impacto o beneficios generados)</v>
      </c>
      <c r="J24" s="588" t="str">
        <f>+'PAI 2021 - V4'!I23</f>
        <v>2.2.1</v>
      </c>
      <c r="K24" s="588" t="str">
        <f>+'PAI 2021 - V4'!J23</f>
        <v>Proyecto audiovisual de cocreación de contenidos con la ciudadanía (diseño, producción y circulación de contenidos).</v>
      </c>
      <c r="L24" s="588" t="str">
        <f t="shared" si="0"/>
        <v>2.2.1 Proyecto audiovisual de cocreación de contenidos con la ciudadanía (diseño, producción y circulación de contenidos).</v>
      </c>
      <c r="M24" s="588" t="str">
        <f>+'PAI 2021 - V4'!K23</f>
        <v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v>
      </c>
      <c r="N24" s="588" t="str">
        <f>+'PAI 2021 - V4'!L23</f>
        <v>Contenido audiovisual circulando en las pantallas de Capital.</v>
      </c>
      <c r="O24" s="588" t="str">
        <f>+'PAI 2021 - V4'!M23</f>
        <v>Porcentaje de avance del proceso para el diseño, producción y circulación de un proyecto audiovisual que incluya la participación activa de la ciudadanía en alguna o varias etapas de dichos procesos.</v>
      </c>
      <c r="P24" s="588" t="str">
        <f>+'PAI 2021 - V4'!N23</f>
        <v>2 Eficiencia: (uso de los recursos)</v>
      </c>
      <c r="Q24" s="588" t="str">
        <f>+'PAI 2021 - V4'!O23</f>
        <v>Garantizar el desarrollo de un proyecto audiovisual que incluya la participación activa de la ciudadanía. Este indicador  tendra un avance conforme las siguientes etapas:
La expresión diseñado: hará referencia a la estructuración de la propuesta técnica que podria tener el proyecto audiovisual de cocreación.
La expresión producción: hará referencia a la contratación de los elementos que se requieran para la producción del proyecto audiovisual de cocreación.
La expresión circulación: hará referencia a la puesta en pantalla del contenido audiovisual de cocreación, puede incluir el preestreno de al menos un capítulo en el caso de proyectos series</v>
      </c>
      <c r="R24" s="588" t="str">
        <f>+'PAI 2021 - V4'!P23</f>
        <v>Porcentaje de avance en la ejecución del proyecto que incluya participación ciudadana / meta anual de proyectos audiovisuales que incluyen la participación activa de la ciudadanía</v>
      </c>
      <c r="S24" s="590" t="s">
        <v>884</v>
      </c>
      <c r="T24" s="590" t="s">
        <v>883</v>
      </c>
      <c r="U24" s="588" t="str">
        <f>+'PAI 2021 - V4'!Q23</f>
        <v>Porcentaje (%).</v>
      </c>
      <c r="V24" s="588">
        <f>+'PAI 2021 - V4'!R23</f>
        <v>1</v>
      </c>
      <c r="W24" s="306">
        <f>+'PAI 2021 - V4'!S23</f>
        <v>1</v>
      </c>
      <c r="X24" s="588">
        <f>+'PAI 2021 - V4'!T23</f>
        <v>1</v>
      </c>
      <c r="Y24" s="588">
        <f>+'PAI 2021 - V4'!U23</f>
        <v>1</v>
      </c>
      <c r="Z24" s="588">
        <f>+'PAI 2021 - V4'!V23</f>
        <v>1</v>
      </c>
      <c r="AA24" s="401">
        <f>+'PAI 2021 - V4'!W23</f>
        <v>500000000</v>
      </c>
      <c r="AB24" s="401">
        <f>+'PAI 2021 - V4'!X23</f>
        <v>515000000</v>
      </c>
      <c r="AC24" s="401">
        <f>+'PAI 2021 - V4'!Y23</f>
        <v>530000000</v>
      </c>
      <c r="AD24" s="401">
        <f>+'PAI 2021 - V4'!Z23</f>
        <v>545000000</v>
      </c>
      <c r="AE24" s="588" t="str">
        <f>+'PAI 2021 - V4'!AA23</f>
        <v>1. Diseño de proyecto
2. Contratación de recursos para desarrollo del proyecto
3. Producción del proyecto
4. Circulación del proyecto</v>
      </c>
      <c r="AF24" s="588" t="str">
        <f>+'PAI 2021 - V4'!AB23</f>
        <v>Cumplimiento del porcentaje de avance del proceso completo (suma de las actividades de gestión).</v>
      </c>
      <c r="AG24" s="588" t="str">
        <f>+'PAI 2021 - V4'!AC23</f>
        <v>2 Eficiencia: (uso de los recursos)</v>
      </c>
      <c r="AH24" s="588" t="str">
        <f>+'PAI 2021 - V4'!AD23</f>
        <v>Porcentaje (%)</v>
      </c>
      <c r="AI24" s="588" t="str">
        <f>+'PAI 2021 - V4'!AE23</f>
        <v>Trimestral.</v>
      </c>
      <c r="AJ24" s="588" t="str">
        <f>+'PAI 2021 - V4'!AF23</f>
        <v>No aplica.</v>
      </c>
      <c r="AK24" s="306" t="str">
        <f>+'PAI 2021 - V4'!AG23</f>
        <v>Director Operativo.</v>
      </c>
      <c r="AL24" s="899" t="str">
        <f>+'PAI 2021 - V4'!AH23</f>
        <v>Coordinadora de producción - Líder de contenidos de ciudadanía, cultura y educación</v>
      </c>
      <c r="AM24" s="913">
        <f>25/100</f>
        <v>0.25</v>
      </c>
      <c r="AN24" s="708"/>
      <c r="AO24" s="708"/>
      <c r="AP24" s="708">
        <f>(25+25)/100</f>
        <v>0.5</v>
      </c>
      <c r="AQ24" s="708"/>
      <c r="AR24" s="708"/>
      <c r="AS24" s="708">
        <f>(25+25+25)/100</f>
        <v>0.75</v>
      </c>
      <c r="AT24" s="708"/>
      <c r="AU24" s="708"/>
      <c r="AV24" s="708">
        <f>(25+25+25+25)/100</f>
        <v>1</v>
      </c>
      <c r="AW24" s="708"/>
      <c r="AX24" s="914"/>
      <c r="AY24" s="366" t="str">
        <f t="shared" si="1"/>
        <v>2.2.1</v>
      </c>
      <c r="AZ24" s="388" t="s">
        <v>1244</v>
      </c>
      <c r="BA24" s="590" t="s">
        <v>1210</v>
      </c>
      <c r="BB24" s="590" t="s">
        <v>1307</v>
      </c>
      <c r="BC24" s="590" t="s">
        <v>1424</v>
      </c>
      <c r="BD24" s="886" t="s">
        <v>1516</v>
      </c>
      <c r="BE24" s="888" t="s">
        <v>1006</v>
      </c>
      <c r="BG24" s="432"/>
      <c r="BH24" s="432"/>
      <c r="BI24" s="432"/>
      <c r="BJ24" s="432"/>
    </row>
    <row r="25" spans="1:62" ht="264.75" customHeight="1" x14ac:dyDescent="0.2">
      <c r="A25" s="12" t="str">
        <f>+'PAI 2021 - V4'!I24</f>
        <v>4.1.1</v>
      </c>
      <c r="B25" s="593" t="str">
        <f>+'PAI 2021 - V4'!A24</f>
        <v>3. Salud y bienestar.
4. Educación de calidad.
5. Igualdad de Género.
9. Industria, innovación e infraestructura.
10. Reducción de las desigualdades.
17. Alianzas para lograr los objetivos.</v>
      </c>
      <c r="C25" s="593" t="str">
        <f>+'PAI 2021 - V4'!B24</f>
        <v>Propósito 1
Logro de ciudad: 3 - 9 - 10
Propósito 3
Logro de ciudad: 22 - 23
Propósito 5
Logro de ciudad: 30</v>
      </c>
      <c r="D25" s="593" t="str">
        <f>+'PAI 2021 - V4'!C24</f>
        <v>Participación ciudadana en la gestión pública.</v>
      </c>
      <c r="E25" s="593" t="str">
        <f>+'PAI 2021 - V4'!D24</f>
        <v>04 - Consolidar a Capital como una empresa que desarrolla nuevas estrategias de negocios de comunicación pública.</v>
      </c>
      <c r="F25" s="593" t="str">
        <f>+'PAI 2021 - V4'!E24</f>
        <v>4.1. Consolidación del diseño, producción y circulación  de estrategias de comunicación pública como línea de negocio misional de Capital.</v>
      </c>
      <c r="G25" s="593" t="str">
        <f>+'PAI 2021 - V4'!F24</f>
        <v>Desarrollar 4 estrategias que incrementen el porcentaje de participación de proyectos de comunicación pública en el total de ingresos de Capital. (1 por año).</v>
      </c>
      <c r="H25" s="593" t="str">
        <f>+'PAI 2021 - V4'!G24</f>
        <v>Estrategias implementadas / estrategias planeadas</v>
      </c>
      <c r="I25" s="593" t="str">
        <f>+'PAI 2021 - V4'!H24</f>
        <v>3 Efectividad (impacto o beneficios generados)</v>
      </c>
      <c r="J25" s="588" t="str">
        <f>+'PAI 2021 - V4'!I24</f>
        <v>4.1.1</v>
      </c>
      <c r="K25" s="588" t="str">
        <f>+'PAI 2021 - V4'!J24</f>
        <v>Promoción de capital como empresa idónea para las  estrategias de comunicación pública entre potenciales clientes / aliados.</v>
      </c>
      <c r="L25" s="588" t="str">
        <f t="shared" si="0"/>
        <v>4.1.1 Promoción de capital como empresa idónea para las  estrategias de comunicación pública entre potenciales clientes / aliados.</v>
      </c>
      <c r="M25" s="588" t="str">
        <f>+'PAI 2021 - V4'!K24</f>
        <v>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v>
      </c>
      <c r="N25" s="588" t="str">
        <f>+'PAI 2021 - V4'!L24</f>
        <v>Presentación del informe de resultado de la actividad.</v>
      </c>
      <c r="O25" s="588" t="str">
        <f>+'PAI 2021 - V4'!M24</f>
        <v>Porcentaje de ejecución del proceso para la realización de la actividad propuesta.</v>
      </c>
      <c r="P25" s="588" t="str">
        <f>+'PAI 2021 - V4'!N24</f>
        <v>2 Eficiencia: (uso de los recursos)</v>
      </c>
      <c r="Q25" s="588" t="str">
        <f>+'PAI 2021 - V4'!O24</f>
        <v>Garantizar la realización de las actividades propuestas de posicionamiento de la comunicación pública y Capital como socio idóneo.</v>
      </c>
      <c r="R25" s="588" t="str">
        <f>+'PAI 2021 - V4'!P24</f>
        <v>Porcentaje de avance en las actividades ejecutadas  / Porcentaje total de las actividades planeadas</v>
      </c>
      <c r="S25" s="588" t="s">
        <v>1085</v>
      </c>
      <c r="T25" s="588" t="s">
        <v>1086</v>
      </c>
      <c r="U25" s="588" t="e">
        <f>+'PAI 2021 - V4'!#REF!</f>
        <v>#REF!</v>
      </c>
      <c r="V25" s="588" t="str">
        <f>+'PAI 2021 - V4'!R24</f>
        <v>No aplica.</v>
      </c>
      <c r="W25" s="306">
        <f>+'PAI 2021 - V4'!S24</f>
        <v>1</v>
      </c>
      <c r="X25" s="588">
        <f>+'PAI 2021 - V4'!T24</f>
        <v>1</v>
      </c>
      <c r="Y25" s="588">
        <f>+'PAI 2021 - V4'!U24</f>
        <v>1</v>
      </c>
      <c r="Z25" s="588">
        <f>+'PAI 2021 - V4'!V24</f>
        <v>1</v>
      </c>
      <c r="AA25" s="401">
        <f>+'PAI 2021 - V4'!W24</f>
        <v>0</v>
      </c>
      <c r="AB25" s="401">
        <f>+'PAI 2021 - V4'!X24</f>
        <v>0</v>
      </c>
      <c r="AC25" s="401">
        <f>+'PAI 2021 - V4'!Y24</f>
        <v>0</v>
      </c>
      <c r="AD25" s="401">
        <f>+'PAI 2021 - V4'!Z24</f>
        <v>0</v>
      </c>
      <c r="AE25" s="588" t="str">
        <f>+'PAI 2021 - V4'!AA24</f>
        <v xml:space="preserve">* Diseño Plan de posicionamiento y gestión de recursos de Capital y de Eureka 
* Ejecución Plan de posicionamiento y gestión de recursos de Capital y de Eureka, capítulo gestión </v>
      </c>
      <c r="AF25" s="588" t="str">
        <f>+'PAI 2021 - V4'!AB24</f>
        <v>Cumplimiento del porcentaje de avance del proceso completo (suma de las actividades de gestión).</v>
      </c>
      <c r="AG25" s="588" t="str">
        <f>+'PAI 2021 - V4'!AC24</f>
        <v>2 Eficiencia: (uso de los recursos)</v>
      </c>
      <c r="AH25" s="588" t="str">
        <f>+'PAI 2021 - V4'!AD24</f>
        <v>Porcentaje (%)</v>
      </c>
      <c r="AI25" s="588" t="str">
        <f>+'PAI 2021 - V4'!AE24</f>
        <v>Trimestral.</v>
      </c>
      <c r="AJ25" s="588" t="str">
        <f>+'PAI 2021 - V4'!AF24</f>
        <v>No aplica.</v>
      </c>
      <c r="AK25" s="306" t="str">
        <f>+'PAI 2021 - V4'!AG24</f>
        <v>Líder de Proyectos estratégicos</v>
      </c>
      <c r="AL25" s="899" t="str">
        <f>+'PAI 2021 - V4'!AH24</f>
        <v>Líder de proyectos estratégicos</v>
      </c>
      <c r="AM25" s="913">
        <f>10/100</f>
        <v>0.1</v>
      </c>
      <c r="AN25" s="708"/>
      <c r="AO25" s="708"/>
      <c r="AP25" s="708">
        <f>37/100</f>
        <v>0.37</v>
      </c>
      <c r="AQ25" s="708"/>
      <c r="AR25" s="708"/>
      <c r="AS25" s="708">
        <f>81.5/100</f>
        <v>0.81499999999999995</v>
      </c>
      <c r="AT25" s="708"/>
      <c r="AU25" s="708"/>
      <c r="AV25" s="708">
        <f>100/100</f>
        <v>1</v>
      </c>
      <c r="AW25" s="708"/>
      <c r="AX25" s="914"/>
      <c r="AY25" s="366" t="str">
        <f t="shared" si="1"/>
        <v>4.1.1</v>
      </c>
      <c r="AZ25" s="388" t="s">
        <v>1245</v>
      </c>
      <c r="BA25" s="590" t="s">
        <v>1211</v>
      </c>
      <c r="BB25" s="590" t="s">
        <v>1425</v>
      </c>
      <c r="BC25" s="590" t="s">
        <v>1426</v>
      </c>
      <c r="BD25" s="886" t="s">
        <v>1517</v>
      </c>
      <c r="BE25" s="888" t="s">
        <v>1006</v>
      </c>
      <c r="BG25" s="407"/>
      <c r="BH25" s="432"/>
      <c r="BI25" s="432"/>
      <c r="BJ25" s="432"/>
    </row>
    <row r="26" spans="1:62" ht="225.75" customHeight="1" x14ac:dyDescent="0.2">
      <c r="A26" s="12" t="str">
        <f>+'PAI 2021 - V4'!I25</f>
        <v>4.1.2</v>
      </c>
      <c r="B26" s="593" t="str">
        <f>+'PAI 2021 - V4'!A24</f>
        <v>3. Salud y bienestar.
4. Educación de calidad.
5. Igualdad de Género.
9. Industria, innovación e infraestructura.
10. Reducción de las desigualdades.
17. Alianzas para lograr los objetivos.</v>
      </c>
      <c r="C26" s="593" t="str">
        <f>+'PAI 2021 - V4'!B24</f>
        <v>Propósito 1
Logro de ciudad: 3 - 9 - 10
Propósito 3
Logro de ciudad: 22 - 23
Propósito 5
Logro de ciudad: 30</v>
      </c>
      <c r="D26" s="593" t="str">
        <f>+'PAI 2021 - V4'!C24</f>
        <v>Participación ciudadana en la gestión pública.</v>
      </c>
      <c r="E26" s="593" t="str">
        <f>+'PAI 2021 - V4'!D24</f>
        <v>04 - Consolidar a Capital como una empresa que desarrolla nuevas estrategias de negocios de comunicación pública.</v>
      </c>
      <c r="F26" s="593" t="str">
        <f>+'PAI 2021 - V4'!E24</f>
        <v>4.1. Consolidación del diseño, producción y circulación  de estrategias de comunicación pública como línea de negocio misional de Capital.</v>
      </c>
      <c r="G26" s="593" t="str">
        <f>+'PAI 2021 - V4'!F24</f>
        <v>Desarrollar 4 estrategias que incrementen el porcentaje de participación de proyectos de comunicación pública en el total de ingresos de Capital. (1 por año).</v>
      </c>
      <c r="H26" s="593" t="str">
        <f>+'PAI 2021 - V4'!G25</f>
        <v>Porcentaje de avance en la gestión para la suscripción de contratos de las estrategias de comunicación pública y de negocios estratégicos</v>
      </c>
      <c r="I26" s="593" t="str">
        <f>+'PAI 2021 - V4'!H25</f>
        <v>3 Efectividad (impacto o beneficios generados)</v>
      </c>
      <c r="J26" s="588" t="str">
        <f>+'PAI 2021 - V4'!I25</f>
        <v>4.1.2</v>
      </c>
      <c r="K26" s="588" t="str">
        <f>+'PAI 2021 - V4'!J25</f>
        <v>Ejecución de estrategias de comunicación pública y de negocios estratégicos para Capital y para Eureka.</v>
      </c>
      <c r="L26" s="588" t="str">
        <f t="shared" si="0"/>
        <v>4.1.2 Ejecución de estrategias de comunicación pública y de negocios estratégicos para Capital y para Eureka.</v>
      </c>
      <c r="M26" s="588" t="str">
        <f>+'PAI 2021 - V4'!K25</f>
        <v>Diseñar y ejecutar estrategias de comunicación pública, negocios estratégicos y de educomunicación, que arrojen un fee mínimo de 8.5% para Capital, incluido, Eureka</v>
      </c>
      <c r="N26" s="588" t="str">
        <f>+'PAI 2021 - V4'!L25</f>
        <v>Reporte de los resultados del Plan de posicionamiento respecto a la gestión de recursos de Capital y de Eureka</v>
      </c>
      <c r="O26" s="588" t="str">
        <f>+'PAI 2021 - V4'!M25</f>
        <v>Porcentaje de las estrategias de comunicación pública y de negocios estratégicos, de contratos suscritos que logran el fee mínimo de 8.5%.</v>
      </c>
      <c r="P26" s="588" t="str">
        <f>+'PAI 2021 - V4'!N25</f>
        <v>2 Eficiencia: (uso de los recursos)</v>
      </c>
      <c r="Q26" s="588" t="str">
        <f>+'PAI 2021 - V4'!O25</f>
        <v>Da cuenta de las entidades con las que se suscriben estrategias de comunicación pública y de negocios estratégicos para Capital, incluido Eureka, que arrojen un fee mínimo de 8.5% hasta el 85% para Capital. Se espera que este fee se alcance entre un mínimo el 70% hasta un 100% de los contratos suscritos en la vigencia.</v>
      </c>
      <c r="R26" s="588" t="str">
        <f>+'PAI 2021 - V4'!P25</f>
        <v>(Número de contrataciones realizadas por comunicación pública, negocios estratégicos y de educomunicación , que arrojen un fee mínimo de 8.5% para Capital) / (Número total de contratos de comunicación pública, negocios estratégicos y de educomunicación suscritos en el periodo) * 100%</v>
      </c>
      <c r="S26" s="588" t="s">
        <v>1132</v>
      </c>
      <c r="T26" s="588" t="s">
        <v>1133</v>
      </c>
      <c r="U26" s="588" t="str">
        <f>+'PAI 2021 - V4'!Q25</f>
        <v>Porcentaje (%).</v>
      </c>
      <c r="V26" s="400" t="str">
        <f>+'PAI 2021 - V4'!R25</f>
        <v>No aplica.</v>
      </c>
      <c r="W26" s="442">
        <f>+'PAI 2021 - V4'!S25</f>
        <v>0.7</v>
      </c>
      <c r="X26" s="400">
        <f>+'PAI 2021 - V4'!T25</f>
        <v>0.8</v>
      </c>
      <c r="Y26" s="400">
        <f>+'PAI 2021 - V4'!U25</f>
        <v>0.9</v>
      </c>
      <c r="Z26" s="400">
        <f>+'PAI 2021 - V4'!V25</f>
        <v>1</v>
      </c>
      <c r="AA26" s="401" t="s">
        <v>40</v>
      </c>
      <c r="AB26" s="401" t="s">
        <v>40</v>
      </c>
      <c r="AC26" s="401" t="s">
        <v>40</v>
      </c>
      <c r="AD26" s="401" t="s">
        <v>40</v>
      </c>
      <c r="AE26" s="588" t="str">
        <f>+'PAI 2021 - V4'!AA25</f>
        <v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v>
      </c>
      <c r="AF26" s="588" t="str">
        <f>+'PAI 2021 - V4'!AB25</f>
        <v>Cumplimiento del porcentaje de avance del proceso completo (suma de las actividades de gestión).</v>
      </c>
      <c r="AG26" s="588" t="str">
        <f>+'PAI 2021 - V4'!AC25</f>
        <v>2 Eficiencia: (uso de los recursos)</v>
      </c>
      <c r="AH26" s="588" t="str">
        <f>+'PAI 2021 - V4'!AD25</f>
        <v>Porcentaje (%)</v>
      </c>
      <c r="AI26" s="588" t="str">
        <f>+'PAI 2021 - V4'!AE25</f>
        <v>Trimestral.</v>
      </c>
      <c r="AJ26" s="588" t="str">
        <f>+'PAI 2021 - V4'!AF25</f>
        <v>No aplica.</v>
      </c>
      <c r="AK26" s="306" t="str">
        <f>+'PAI 2021 - V4'!AG25</f>
        <v>Líder de Proyectos estratégicos</v>
      </c>
      <c r="AL26" s="899" t="str">
        <f>+'PAI 2021 - V4'!AH25</f>
        <v>Líder de proyectos estratégicos</v>
      </c>
      <c r="AM26" s="915">
        <f>10/10</f>
        <v>1</v>
      </c>
      <c r="AN26" s="715"/>
      <c r="AO26" s="715"/>
      <c r="AP26" s="715">
        <f>6/7</f>
        <v>0.8571428571428571</v>
      </c>
      <c r="AQ26" s="715"/>
      <c r="AR26" s="715"/>
      <c r="AS26" s="715">
        <f>23/23</f>
        <v>1</v>
      </c>
      <c r="AT26" s="715"/>
      <c r="AU26" s="715"/>
      <c r="AV26" s="715">
        <f>21/21</f>
        <v>1</v>
      </c>
      <c r="AW26" s="715"/>
      <c r="AX26" s="916"/>
      <c r="AY26" s="366" t="str">
        <f t="shared" si="1"/>
        <v>4.1.2</v>
      </c>
      <c r="AZ26" s="388" t="s">
        <v>1212</v>
      </c>
      <c r="BA26" s="590" t="s">
        <v>1213</v>
      </c>
      <c r="BB26" s="590" t="s">
        <v>1318</v>
      </c>
      <c r="BC26" s="590" t="s">
        <v>1383</v>
      </c>
      <c r="BD26" s="886" t="s">
        <v>1518</v>
      </c>
      <c r="BE26" s="888" t="s">
        <v>1006</v>
      </c>
      <c r="BG26" s="432"/>
      <c r="BH26" s="432"/>
      <c r="BI26" s="407"/>
      <c r="BJ26" s="407"/>
    </row>
    <row r="27" spans="1:62" ht="233.25" customHeight="1" x14ac:dyDescent="0.2">
      <c r="A27" s="12" t="str">
        <f>+'PAI 2021 - V4'!I26</f>
        <v>3.1.1</v>
      </c>
      <c r="B27" s="593" t="str">
        <f>+'PAI 2021 - V4'!A26</f>
        <v>9. Industria, innovación e infraestructura.
16. Paz, justicia e instituciones sólidas.</v>
      </c>
      <c r="C27" s="593" t="str">
        <f>+'PAI 2021 - V4'!B26</f>
        <v>Propósito 1
Logro de ciudad: 5
Propósito 5
Logro de ciudad: 29 - 30</v>
      </c>
      <c r="D27" s="593" t="str">
        <f>+'PAI 2021 - V4'!C26</f>
        <v>Gobierno Digital.</v>
      </c>
      <c r="E27" s="593" t="str">
        <f>+'PAI 2021 - V4'!D26</f>
        <v>03 - Generar una cultura digital y de gestión del conocimiento para la optimización de los procesos internos y externos.</v>
      </c>
      <c r="F27" s="593" t="str">
        <f>+'PAI 2021 - V4'!E26</f>
        <v xml:space="preserve">3.1. Optimización de presencias digitales </v>
      </c>
      <c r="G27" s="593" t="str">
        <f>+'PAI 2021 - V4'!F26</f>
        <v>Implementar como mínimo una (1) estrategia digital por cada vigencia.</v>
      </c>
      <c r="H27" s="593" t="str">
        <f>+'PAI 2021 - V4'!G26</f>
        <v>Numero de estrategias digitales implementadas para cada vigencia / número de estrategias digitales planificadas para cada vigencia</v>
      </c>
      <c r="I27" s="593" t="str">
        <f>+'PAI 2021 - V4'!H26</f>
        <v>2 Eficiencia: (uso de los recursos)</v>
      </c>
      <c r="J27" s="588" t="str">
        <f>+'PAI 2021 - V4'!I26</f>
        <v>3.1.1</v>
      </c>
      <c r="K27" s="588" t="str">
        <f>+'PAI 2021 - V4'!J26</f>
        <v xml:space="preserve">Rediseño de página web y optimización del canal de YouTube de capital </v>
      </c>
      <c r="L27" s="588" t="str">
        <f t="shared" si="0"/>
        <v xml:space="preserve">3.1.1 Rediseño de página web y optimización del canal de YouTube de capital </v>
      </c>
      <c r="M27" s="588" t="str">
        <f>+'PAI 2021 - V4'!K26</f>
        <v>Realizar acciones que potencialicen los recursos internos disponibles por Capital para unificar las páginas web de capital en una sola y cumplir con los lineamientos de gobierno en línea</v>
      </c>
      <c r="N27" s="588" t="str">
        <f>+'PAI 2021 - V4'!L26</f>
        <v>Página web rediseñada y canal de YouTube optimizado</v>
      </c>
      <c r="O27" s="515" t="str">
        <f>+'PAI 2021 - V4'!M26</f>
        <v>Porcentaje de avance en las plataformas digitales optimizadas para la publicación de contenidos (2)</v>
      </c>
      <c r="P27" s="588" t="str">
        <f>+'PAI 2021 - V4'!N26</f>
        <v>2 Eficiencia: (uso de los recursos)</v>
      </c>
      <c r="Q27" s="588" t="str">
        <f>+'PAI 2021 - V4'!O26</f>
        <v>Hace referencia al porcentaje de avance en las actividades de intervención de las plataformas tecnológicas, durante la vigencia, para  unificar las páginas web de capital en una sola que cumpla con los lineamientos de gobierno en línea, así como del canal de YouTube.</v>
      </c>
      <c r="R27" s="588" t="str">
        <f>+'PAI 2021 - V4'!P26</f>
        <v>Porcentaje de avance en la intervención de las plataformas / Porcentaje programado para 2021 de actividades de rediseño en las plataformas a intervenir (página web y canal de youtube)</v>
      </c>
      <c r="S27" s="588" t="s">
        <v>1134</v>
      </c>
      <c r="T27" s="588" t="s">
        <v>1135</v>
      </c>
      <c r="U27" s="588" t="str">
        <f>+'PAI 2021 - V4'!Q26</f>
        <v>Porcentaje (%).</v>
      </c>
      <c r="V27" s="588" t="str">
        <f>+'PAI 2021 - V4'!R26</f>
        <v>No aplica.</v>
      </c>
      <c r="W27" s="306">
        <f>+'PAI 2021 - V4'!S26</f>
        <v>1</v>
      </c>
      <c r="X27" s="588" t="str">
        <f>+'PAI 2021 - V4'!T26</f>
        <v>-</v>
      </c>
      <c r="Y27" s="588" t="str">
        <f>+'PAI 2021 - V4'!U26</f>
        <v>-</v>
      </c>
      <c r="Z27" s="588" t="str">
        <f>+'PAI 2021 - V4'!V26</f>
        <v>-</v>
      </c>
      <c r="AA27" s="401">
        <f>+'PAI 2021 - V4'!W26</f>
        <v>150000000</v>
      </c>
      <c r="AB27" s="401">
        <f>+'PAI 2021 - V4'!X26</f>
        <v>0</v>
      </c>
      <c r="AC27" s="401">
        <f>+'PAI 2021 - V4'!Y26</f>
        <v>0</v>
      </c>
      <c r="AD27" s="401">
        <f>+'PAI 2021 - V4'!Z26</f>
        <v>0</v>
      </c>
      <c r="AE27" s="588" t="str">
        <f>+'PAI 2021 - V4'!AA26</f>
        <v>1. Definir plan de trabajo interno para el rediseño de la página web y el correspondiente a la fortalecimiento del canal de YouTube
2. Ejecutar plan de trabajo de intervención de las plataformas a optimizar
3. Realizar pruebas de QA previo a la salida producción</v>
      </c>
      <c r="AF27" s="588" t="str">
        <f>+'PAI 2021 - V4'!AB26</f>
        <v>Cumplimiento del porcentaje de avance del proceso definido para la vigencia (suma de las actividades de gestión).</v>
      </c>
      <c r="AG27" s="588" t="str">
        <f>+'PAI 2021 - V4'!AC26</f>
        <v>2 Eficiencia: (uso de los recursos)</v>
      </c>
      <c r="AH27" s="588" t="str">
        <f>+'PAI 2021 - V4'!AD26</f>
        <v>Porcentaje (%)</v>
      </c>
      <c r="AI27" s="588" t="str">
        <f>+'PAI 2021 - V4'!AE26</f>
        <v>Trimestral.</v>
      </c>
      <c r="AJ27" s="588" t="str">
        <f>+'PAI 2021 - V4'!AF26</f>
        <v>El costo de la propuesta para 2021 oscila entre 100´000,000 - 150´000,000</v>
      </c>
      <c r="AK27" s="306" t="str">
        <f>+'PAI 2021 - V4'!AG26</f>
        <v>Director Operativo.</v>
      </c>
      <c r="AL27" s="899" t="str">
        <f>+'PAI 2021 - V4'!AH26</f>
        <v>Coordinadora de producción - Líder del equipo digital</v>
      </c>
      <c r="AM27" s="915">
        <f>25/100</f>
        <v>0.25</v>
      </c>
      <c r="AN27" s="715"/>
      <c r="AO27" s="715"/>
      <c r="AP27" s="715">
        <f>50/100</f>
        <v>0.5</v>
      </c>
      <c r="AQ27" s="715"/>
      <c r="AR27" s="715"/>
      <c r="AS27" s="708">
        <f>(25+25+25)/100</f>
        <v>0.75</v>
      </c>
      <c r="AT27" s="708"/>
      <c r="AU27" s="708"/>
      <c r="AV27" s="708">
        <f>(25+25+25+25)/100</f>
        <v>1</v>
      </c>
      <c r="AW27" s="708"/>
      <c r="AX27" s="914"/>
      <c r="AY27" s="366" t="str">
        <f t="shared" si="1"/>
        <v>3.1.1</v>
      </c>
      <c r="AZ27" s="388" t="s">
        <v>1246</v>
      </c>
      <c r="BA27" s="590" t="s">
        <v>1247</v>
      </c>
      <c r="BB27" s="590" t="s">
        <v>1427</v>
      </c>
      <c r="BC27" s="590" t="s">
        <v>1428</v>
      </c>
      <c r="BD27" s="886" t="s">
        <v>1519</v>
      </c>
      <c r="BE27" s="888" t="s">
        <v>1006</v>
      </c>
      <c r="BG27" s="407" t="s">
        <v>1037</v>
      </c>
      <c r="BH27" s="432" t="s">
        <v>1036</v>
      </c>
      <c r="BI27" s="432" t="s">
        <v>1038</v>
      </c>
      <c r="BJ27" s="432" t="s">
        <v>1023</v>
      </c>
    </row>
    <row r="28" spans="1:62" ht="169.5" customHeight="1" x14ac:dyDescent="0.2">
      <c r="A28" s="12" t="str">
        <f>+'PAI 2021 - V4'!I27</f>
        <v>3.1.2</v>
      </c>
      <c r="B28" s="593" t="str">
        <f>+'PAI 2021 - V4'!A26</f>
        <v>9. Industria, innovación e infraestructura.
16. Paz, justicia e instituciones sólidas.</v>
      </c>
      <c r="C28" s="593" t="str">
        <f>+'PAI 2021 - V4'!B26</f>
        <v>Propósito 1
Logro de ciudad: 5
Propósito 5
Logro de ciudad: 29 - 30</v>
      </c>
      <c r="D28" s="593" t="str">
        <f>+'PAI 2021 - V4'!C26</f>
        <v>Gobierno Digital.</v>
      </c>
      <c r="E28" s="593" t="str">
        <f>+'PAI 2021 - V4'!D26</f>
        <v>03 - Generar una cultura digital y de gestión del conocimiento para la optimización de los procesos internos y externos.</v>
      </c>
      <c r="F28" s="593" t="str">
        <f>+'PAI 2021 - V4'!E26</f>
        <v xml:space="preserve">3.1. Optimización de presencias digitales </v>
      </c>
      <c r="G28" s="593" t="str">
        <f>+'PAI 2021 - V4'!F26</f>
        <v>Implementar como mínimo una (1) estrategia digital por cada vigencia.</v>
      </c>
      <c r="H28" s="593" t="str">
        <f>+'PAI 2021 - V4'!G26</f>
        <v>Numero de estrategias digitales implementadas para cada vigencia / número de estrategias digitales planificadas para cada vigencia</v>
      </c>
      <c r="I28" s="593" t="str">
        <f>+'PAI 2021 - V4'!H26</f>
        <v>2 Eficiencia: (uso de los recursos)</v>
      </c>
      <c r="J28" s="588" t="str">
        <f>+'PAI 2021 - V4'!I27</f>
        <v>3.1.2</v>
      </c>
      <c r="K28" s="588" t="str">
        <f>+'PAI 2021 - V4'!J27</f>
        <v xml:space="preserve">Estandarización de lineamientos internos para el fortalecimiento de la interacción en redes sociales </v>
      </c>
      <c r="L28" s="588" t="str">
        <f t="shared" si="0"/>
        <v xml:space="preserve">3.1.2 Estandarización de lineamientos internos para el fortalecimiento de la interacción en redes sociales </v>
      </c>
      <c r="M28" s="588" t="str">
        <f>+'PAI 2021 - V4'!K27</f>
        <v>Consolidar mecanismos o buenas prácticas que faciliten y potencialicen el uso de la redes sociales como un elementos de interacción con la ciudadanía</v>
      </c>
      <c r="N28" s="588" t="str">
        <f>+'PAI 2021 - V4'!L27</f>
        <v xml:space="preserve">Documento de relacionamiento con las audiencias a través de las redes sociales </v>
      </c>
      <c r="O28" s="515" t="str">
        <f>+'PAI 2021 - V4'!M27</f>
        <v>Porcentaje de avance en la documentación del estándar de relacionamiento con audiencias en redes sociales</v>
      </c>
      <c r="P28" s="588" t="str">
        <f>+'PAI 2021 - V4'!N27</f>
        <v>1 Eficacia: (cumplimiento de metas)</v>
      </c>
      <c r="Q28" s="588" t="str">
        <f>+'PAI 2021 - V4'!O27</f>
        <v xml:space="preserve">Este indicador esta asociado a la  determinación y consolidación de las buenas prácticas aplicables en Capital para fortalecer el relacionamiento con las audiencias haciendo uso de herramientas digitales </v>
      </c>
      <c r="R28" s="515" t="str">
        <f>+'PAI 2021 - V4'!P27</f>
        <v>Porcentaje de avance en la elaboración del documento de estándares / Porcentaje programado de documentación del estándar de relacionamiento.</v>
      </c>
      <c r="S28" s="588" t="s">
        <v>885</v>
      </c>
      <c r="T28" s="588" t="s">
        <v>886</v>
      </c>
      <c r="U28" s="588" t="str">
        <f>+'PAI 2021 - V4'!Q27</f>
        <v>Porcentaje (%).</v>
      </c>
      <c r="V28" s="442">
        <f>+'PAI 2021 - V4'!R27</f>
        <v>1</v>
      </c>
      <c r="W28" s="442">
        <f>+'PAI 2021 - V4'!S27</f>
        <v>1</v>
      </c>
      <c r="X28" s="588" t="str">
        <f>+'PAI 2021 - V4'!T27</f>
        <v>-</v>
      </c>
      <c r="Y28" s="588" t="str">
        <f>+'PAI 2021 - V4'!U27</f>
        <v>-</v>
      </c>
      <c r="Z28" s="588" t="str">
        <f>+'PAI 2021 - V4'!V27</f>
        <v>-</v>
      </c>
      <c r="AA28" s="401">
        <f>+'PAI 2021 - V4'!W27</f>
        <v>0</v>
      </c>
      <c r="AB28" s="401">
        <f>+'PAI 2021 - V4'!X27</f>
        <v>0</v>
      </c>
      <c r="AC28" s="401">
        <f>+'PAI 2021 - V4'!Y27</f>
        <v>0</v>
      </c>
      <c r="AD28" s="401">
        <f>+'PAI 2021 - V4'!Z27</f>
        <v>0</v>
      </c>
      <c r="AE28" s="588" t="str">
        <f>+'PAI 2021 - V4'!AA27</f>
        <v>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v>
      </c>
      <c r="AF28" s="588" t="str">
        <f>+'PAI 2021 - V4'!AB27</f>
        <v>Cumplimiento del porcentaje de avance del proceso completo (suma de las actividades de gestión).</v>
      </c>
      <c r="AG28" s="588" t="str">
        <f>+'PAI 2021 - V4'!AC27</f>
        <v>2 Eficiencia: (uso de los recursos)</v>
      </c>
      <c r="AH28" s="588" t="str">
        <f>+'PAI 2021 - V4'!AD27</f>
        <v>Porcentaje (%)</v>
      </c>
      <c r="AI28" s="588" t="str">
        <f>+'PAI 2021 - V4'!AE27</f>
        <v>Trimestral.</v>
      </c>
      <c r="AJ28" s="588" t="str">
        <f>+'PAI 2021 - V4'!AF27</f>
        <v>No aplica.</v>
      </c>
      <c r="AK28" s="306" t="str">
        <f>+'PAI 2021 - V4'!AG27</f>
        <v>Director Operativo.</v>
      </c>
      <c r="AL28" s="899" t="str">
        <f>+'PAI 2021 - V4'!AH27</f>
        <v>Coordinadora de producción - Líder del equipo digital</v>
      </c>
      <c r="AM28" s="915">
        <f>25/100</f>
        <v>0.25</v>
      </c>
      <c r="AN28" s="715"/>
      <c r="AO28" s="715"/>
      <c r="AP28" s="715">
        <f>50/100</f>
        <v>0.5</v>
      </c>
      <c r="AQ28" s="715"/>
      <c r="AR28" s="715"/>
      <c r="AS28" s="708">
        <f>(25+25+25)/100</f>
        <v>0.75</v>
      </c>
      <c r="AT28" s="708"/>
      <c r="AU28" s="708"/>
      <c r="AV28" s="708">
        <f>(25+25+25+25)/100</f>
        <v>1</v>
      </c>
      <c r="AW28" s="708"/>
      <c r="AX28" s="914"/>
      <c r="AY28" s="366" t="str">
        <f t="shared" si="1"/>
        <v>3.1.2</v>
      </c>
      <c r="AZ28" s="388" t="s">
        <v>1248</v>
      </c>
      <c r="BA28" s="590" t="s">
        <v>1249</v>
      </c>
      <c r="BB28" s="590" t="s">
        <v>1429</v>
      </c>
      <c r="BC28" s="590" t="s">
        <v>1430</v>
      </c>
      <c r="BD28" s="886" t="s">
        <v>1520</v>
      </c>
      <c r="BE28" s="888" t="s">
        <v>1006</v>
      </c>
      <c r="BG28" s="432"/>
      <c r="BH28" s="432"/>
      <c r="BI28" s="432"/>
      <c r="BJ28" s="432"/>
    </row>
    <row r="29" spans="1:62" ht="341.25" customHeight="1" x14ac:dyDescent="0.2">
      <c r="A29" s="12" t="str">
        <f>+'PAI 2021 - V4'!I28</f>
        <v>5.4.1</v>
      </c>
      <c r="B29" s="593" t="str">
        <f>+'PAI 2021 - V4'!A28</f>
        <v>11. Ciudades y comunidades sostenibles.
17. Alianzas para lograr los objetivos.</v>
      </c>
      <c r="C29" s="593" t="str">
        <f>+'PAI 2021 - V4'!B28</f>
        <v>Propósito 5
Logro de ciudad: 27 - 30</v>
      </c>
      <c r="D29" s="593" t="str">
        <f>+'PAI 2021 - V4'!C28</f>
        <v>Gestión documental y archivo.</v>
      </c>
      <c r="E29" s="593" t="str">
        <f>+'PAI 2021 - V4'!D28</f>
        <v>05 - Fortalecer la capacidad organizacional de Capital para ser una empresa transparente, eficiente y sostenible.</v>
      </c>
      <c r="F29" s="593" t="str">
        <f>+'PAI 2021 - V4'!E28</f>
        <v>5.4. Fortalecimiento a la gestión documental para el uso adecuado e implementación de los instrumentos archivísticos en Canal Capital</v>
      </c>
      <c r="G29" s="593" t="str">
        <f>+'PAI 2021 - V4'!F28</f>
        <v>Cumplir al 100% los requerimientos del archivo sobre la implementación de instrumentos archivísticos.</v>
      </c>
      <c r="H29" s="593" t="str">
        <f>+'PAI 2021 - V4'!G28</f>
        <v xml:space="preserve">No de transferencias secundarias y actualizaciones de las TRD realizadas </v>
      </c>
      <c r="I29" s="593" t="str">
        <f>+'PAI 2021 - V4'!H28</f>
        <v>1 Eficacia: (cumplimiento de metas)</v>
      </c>
      <c r="J29" s="588" t="str">
        <f>+'PAI 2021 - V4'!I28</f>
        <v>5.4.1</v>
      </c>
      <c r="K29" s="588" t="str">
        <f>+'PAI 2021 - V4'!J28</f>
        <v>Plan Institucional de Archivos PINAR</v>
      </c>
      <c r="L29" s="588" t="str">
        <f t="shared" si="0"/>
        <v>5.4.1 Plan Institucional de Archivos PINAR</v>
      </c>
      <c r="M29" s="588" t="str">
        <f>+'PAI 2021 - V4'!K28</f>
        <v>Aplicar las Tablas de Valoración Documental por medio de la transferencia secundaria, actualización e implementación las tablas de retención documental. (Anexo 6).</v>
      </c>
      <c r="N29" s="588" t="str">
        <f>+'PAI 2021 - V4'!L28</f>
        <v>Acta de transferencia secundaria y aprobación de las TRD</v>
      </c>
      <c r="O29" s="515" t="str">
        <f>+'PAI 2021 - V4'!M28</f>
        <v xml:space="preserve">Porcentaje de avance en la Organización (Clasificación, Ordenación, Foliación y Almacenamiento) de los expedientes a transferir en cada una de las vigencias.   </v>
      </c>
      <c r="P29" s="588" t="str">
        <f>+'PAI 2021 - V4'!N28</f>
        <v>1 Eficacia: (cumplimiento de metas)</v>
      </c>
      <c r="Q29" s="588" t="str">
        <f>+'PAI 2021 - V4'!O28</f>
        <v>En relación al cronograma de transferencias secundarias se define la proyección de transferencias secundarias que se realizaran por año y el número de TRD actualizadas</v>
      </c>
      <c r="R29" s="588" t="str">
        <f>+'PAI 2021 - V4'!P28</f>
        <v>Número de expedientes a transferir intervenidos / Número de transferencias proyectadas</v>
      </c>
      <c r="S29" s="588" t="s">
        <v>1155</v>
      </c>
      <c r="T29" s="588" t="s">
        <v>1156</v>
      </c>
      <c r="U29" s="588" t="str">
        <f>+'PAI 2021 - V4'!Q28</f>
        <v>Porcentaje (%).</v>
      </c>
      <c r="V29" s="588" t="str">
        <f>+'PAI 2021 - V4'!R28</f>
        <v>No aplica.</v>
      </c>
      <c r="W29" s="442">
        <f>+'PAI 2021 - V4'!S28</f>
        <v>1</v>
      </c>
      <c r="X29" s="400">
        <f>+'PAI 2021 - V4'!T28</f>
        <v>1</v>
      </c>
      <c r="Y29" s="400">
        <f>+'PAI 2021 - V4'!U28</f>
        <v>1</v>
      </c>
      <c r="Z29" s="400">
        <f>+'PAI 2021 - V4'!V28</f>
        <v>1</v>
      </c>
      <c r="AA29" s="401">
        <f>+'PAI 2021 - V4'!W28</f>
        <v>186174190</v>
      </c>
      <c r="AB29" s="401">
        <f>+'PAI 2021 - V4'!X28</f>
        <v>191759416</v>
      </c>
      <c r="AC29" s="401">
        <f>+'PAI 2021 - V4'!Y28</f>
        <v>197512198</v>
      </c>
      <c r="AD29" s="401">
        <f>+'PAI 2021 - V4'!Z28</f>
        <v>203437563</v>
      </c>
      <c r="AE29" s="588" t="str">
        <f>+'PAI 2021 - V4'!AA28</f>
        <v>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v>
      </c>
      <c r="AF29" s="588" t="str">
        <f>+'PAI 2021 - V4'!AB28</f>
        <v>Cumplimiento de las actividades de gestión, según su ponderación.</v>
      </c>
      <c r="AG29" s="588" t="str">
        <f>+'PAI 2021 - V4'!AC28</f>
        <v>2 Eficiencia: (uso de los recursos)</v>
      </c>
      <c r="AH29" s="588" t="str">
        <f>+'PAI 2021 - V4'!AD28</f>
        <v>Porcentaje (%)</v>
      </c>
      <c r="AI29" s="588" t="str">
        <f>+'PAI 2021 - V4'!AE28</f>
        <v>Trimestral.</v>
      </c>
      <c r="AJ29" s="588" t="str">
        <f>+'PAI 2021 - V4'!AF28</f>
        <v>Se define el costo en:
Coordinador de Gestión Documental
Apoyo Profesional Gestión Documental
Técnico Gestión Documental
2 Auxiliares de Archivo
Compra de unidades de conservación (cajas y carpetas).</v>
      </c>
      <c r="AK29" s="306" t="str">
        <f>+'PAI 2021 - V4'!AG28</f>
        <v>Subdirectora Administrativa</v>
      </c>
      <c r="AL29" s="899" t="str">
        <f>+'PAI 2021 - V4'!AH28</f>
        <v>Grupo de Gestión Documental</v>
      </c>
      <c r="AM29" s="917">
        <v>0</v>
      </c>
      <c r="AN29" s="716"/>
      <c r="AO29" s="716"/>
      <c r="AP29" s="702">
        <f>13/100</f>
        <v>0.13</v>
      </c>
      <c r="AQ29" s="702"/>
      <c r="AR29" s="702"/>
      <c r="AS29" s="716">
        <f>30/100</f>
        <v>0.3</v>
      </c>
      <c r="AT29" s="716"/>
      <c r="AU29" s="716"/>
      <c r="AV29" s="716">
        <f>60/100</f>
        <v>0.6</v>
      </c>
      <c r="AW29" s="716"/>
      <c r="AX29" s="918"/>
      <c r="AY29" s="366" t="str">
        <f t="shared" si="1"/>
        <v>5.4.1</v>
      </c>
      <c r="AZ29" s="388" t="s">
        <v>1250</v>
      </c>
      <c r="BA29" s="590" t="s">
        <v>1251</v>
      </c>
      <c r="BB29" s="590" t="s">
        <v>1431</v>
      </c>
      <c r="BC29" s="590" t="s">
        <v>1385</v>
      </c>
      <c r="BD29" s="886" t="s">
        <v>1476</v>
      </c>
      <c r="BE29" s="888" t="s">
        <v>1004</v>
      </c>
      <c r="BG29" s="407" t="s">
        <v>1039</v>
      </c>
      <c r="BH29" s="432" t="s">
        <v>1027</v>
      </c>
      <c r="BI29" s="432" t="s">
        <v>1040</v>
      </c>
      <c r="BJ29" s="432" t="s">
        <v>1022</v>
      </c>
    </row>
    <row r="30" spans="1:62" s="60" customFormat="1" ht="169.5" customHeight="1" x14ac:dyDescent="0.2">
      <c r="A30" s="12" t="str">
        <f>+'PAI 2021 - V4'!I29</f>
        <v>5.5.1</v>
      </c>
      <c r="B30" s="593" t="str">
        <f>+'PAI 2021 - V4'!A29</f>
        <v>11. Ciudades y comunidades sostenibles.
17. Alianzas para lograr los objetivos.</v>
      </c>
      <c r="C30" s="593" t="str">
        <f>+'PAI 2021 - V4'!B29</f>
        <v>Propósito 5
Logro de ciudad: 29 - 30</v>
      </c>
      <c r="D30" s="593" t="str">
        <f>+'PAI 2021 - V4'!C29</f>
        <v>Gestión presupuestal y eficiencia del gasto público.
Seguimiento y evaluación del desempeño institucional.</v>
      </c>
      <c r="E30" s="593" t="str">
        <f>+'PAI 2021 - V4'!D29</f>
        <v>05 - Fortalecer la capacidad organizacional de Capital para ser una empresa transparente, eficiente y sostenible.</v>
      </c>
      <c r="F30" s="593" t="str">
        <f>+'PAI 2021 - V4'!E29</f>
        <v>5.5. Fortalecimiento de la infraestructura física e interoperabilidad de Capital para la mejora de la gestión institucional.</v>
      </c>
      <c r="G30" s="593" t="str">
        <f>+'PAI 2021 - V4'!F29</f>
        <v>Lograr el 98% de cumplimiento de los compromisos establecidos cada vigencia en materia de gestión de la subdirección administrativa.</v>
      </c>
      <c r="H30" s="593" t="str">
        <f>+'PAI 2021 - V4'!G29</f>
        <v>Cumplimiento de las acciones para el funcionamiento adecuado de la Entidad</v>
      </c>
      <c r="I30" s="593" t="str">
        <f>+'PAI 2021 - V4'!H29</f>
        <v>2 Eficiencia: (uso de los recursos)</v>
      </c>
      <c r="J30" s="588" t="str">
        <f>+'PAI 2021 - V4'!I29</f>
        <v>5.5.1</v>
      </c>
      <c r="K30" s="588" t="str">
        <f>+'PAI 2021 - V4'!J29</f>
        <v>Plan Estratégico de la Subdirección Administrativa para la vigencia.</v>
      </c>
      <c r="L30" s="588" t="str">
        <f t="shared" si="0"/>
        <v>5.5.1 Plan Estratégico de la Subdirección Administrativa para la vigencia.</v>
      </c>
      <c r="M30" s="588" t="str">
        <f>+'PAI 2021 - V4'!K29</f>
        <v>Garantizar el correcto funcionamiento Administrativo de cada una de las áreas de la Subdirección Administrativo</v>
      </c>
      <c r="N30" s="588" t="str">
        <f>+'PAI 2021 - V4'!L29</f>
        <v>Informe de Gestión Anual</v>
      </c>
      <c r="O30" s="515" t="str">
        <f>+'PAI 2021 - V4'!M29</f>
        <v>Porcentaje de cumplimiento del plan de gestión anual de la Subdirección Administrativa 2021 - 2024</v>
      </c>
      <c r="P30" s="588" t="str">
        <f>+'PAI 2021 - V4'!N29</f>
        <v>1 Eficacia: (cumplimiento de metas)</v>
      </c>
      <c r="Q30" s="588" t="str">
        <f>+'PAI 2021 - V4'!O29</f>
        <v>Realizar seguimiento al cumplimiento del plan estratégico de la subdirección Administrativa 2021- 2024</v>
      </c>
      <c r="R30" s="515" t="str">
        <f>+'PAI 2021 - V4'!P29</f>
        <v>Porcentaje de avance en la ejecución de actividades del plan estratégico de la subdirección administrativa / Porcentaje programado de cumplimiento del Plan Estratégico de la Subdirección Administrativa para la vigencia</v>
      </c>
      <c r="S30" s="592" t="s">
        <v>1091</v>
      </c>
      <c r="T30" s="592" t="s">
        <v>1092</v>
      </c>
      <c r="U30" s="588" t="str">
        <f>+'PAI 2021 - V4'!Q29</f>
        <v>Porcentaje (%).</v>
      </c>
      <c r="V30" s="588" t="str">
        <f>+'PAI 2021 - V4'!R29</f>
        <v>No aplica.</v>
      </c>
      <c r="W30" s="442">
        <f>+'PAI 2021 - V4'!S29</f>
        <v>0.9</v>
      </c>
      <c r="X30" s="400">
        <f>+'PAI 2021 - V4'!T29</f>
        <v>0.9</v>
      </c>
      <c r="Y30" s="400">
        <f>+'PAI 2021 - V4'!U29</f>
        <v>0.9</v>
      </c>
      <c r="Z30" s="400">
        <f>+'PAI 2021 - V4'!V29</f>
        <v>0.9</v>
      </c>
      <c r="AA30" s="401">
        <f>+'PAI 2021 - V4'!W29</f>
        <v>2708599760</v>
      </c>
      <c r="AB30" s="401">
        <f>+'PAI 2021 - V4'!X29</f>
        <v>2789857753</v>
      </c>
      <c r="AC30" s="401">
        <f>+'PAI 2021 - V4'!Y29</f>
        <v>2873553485</v>
      </c>
      <c r="AD30" s="401">
        <f>+'PAI 2021 - V4'!Z29</f>
        <v>2959760000</v>
      </c>
      <c r="AE30" s="588" t="str">
        <f>+'PAI 2021 - V4'!AA29</f>
        <v xml:space="preserve">1. Planear (30%)
2  Ejecutar (40%)
3. Seguimiento (10%)
4.Analisis y mejoramiento (10%)
</v>
      </c>
      <c r="AF30" s="588" t="str">
        <f>+'PAI 2021 - V4'!AB29</f>
        <v>Cumplimiento de las actividades planeadas del plan estratégico de la subdirección Administrativa</v>
      </c>
      <c r="AG30" s="588" t="str">
        <f>+'PAI 2021 - V4'!AC29</f>
        <v>2 Eficiencia: (uso de los recursos)</v>
      </c>
      <c r="AH30" s="588" t="str">
        <f>+'PAI 2021 - V4'!AD29</f>
        <v>Porcentaje (%)</v>
      </c>
      <c r="AI30" s="588" t="str">
        <f>+'PAI 2021 - V4'!AE29</f>
        <v>Trimestral.</v>
      </c>
      <c r="AJ30" s="588" t="str">
        <f>+'PAI 2021 - V4'!AF29</f>
        <v>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v>
      </c>
      <c r="AK30" s="306" t="str">
        <f>+'PAI 2021 - V4'!AG29</f>
        <v>Subdirectora Administrativa</v>
      </c>
      <c r="AL30" s="899" t="str">
        <f>+'PAI 2021 - V4'!AH29</f>
        <v>Subdirección administrativa</v>
      </c>
      <c r="AM30" s="919">
        <f>3/3</f>
        <v>1</v>
      </c>
      <c r="AN30" s="717"/>
      <c r="AO30" s="717"/>
      <c r="AP30" s="717">
        <f>4/4</f>
        <v>1</v>
      </c>
      <c r="AQ30" s="717"/>
      <c r="AR30" s="717"/>
      <c r="AS30" s="717">
        <f>6/6</f>
        <v>1</v>
      </c>
      <c r="AT30" s="717"/>
      <c r="AU30" s="717"/>
      <c r="AV30" s="717">
        <f>100/100</f>
        <v>1</v>
      </c>
      <c r="AW30" s="717"/>
      <c r="AX30" s="920"/>
      <c r="AY30" s="366" t="str">
        <f t="shared" si="1"/>
        <v>5.5.1</v>
      </c>
      <c r="AZ30" s="389" t="s">
        <v>994</v>
      </c>
      <c r="BA30" s="592" t="s">
        <v>1218</v>
      </c>
      <c r="BB30" s="592" t="s">
        <v>1314</v>
      </c>
      <c r="BC30" s="592" t="s">
        <v>1432</v>
      </c>
      <c r="BD30" s="886" t="s">
        <v>1477</v>
      </c>
      <c r="BE30" s="888" t="s">
        <v>1006</v>
      </c>
      <c r="BG30" s="432" t="s">
        <v>1020</v>
      </c>
      <c r="BH30" s="432" t="s">
        <v>1036</v>
      </c>
      <c r="BI30" s="407" t="s">
        <v>1041</v>
      </c>
      <c r="BJ30" s="432" t="s">
        <v>1023</v>
      </c>
    </row>
    <row r="31" spans="1:62" s="27" customFormat="1" ht="129" customHeight="1" x14ac:dyDescent="0.2">
      <c r="A31" s="12" t="str">
        <f>+'PAI 2021 - V4'!I30</f>
        <v>5.5.2</v>
      </c>
      <c r="B31" s="593" t="str">
        <f>+'PAI 2021 - V4'!A29</f>
        <v>11. Ciudades y comunidades sostenibles.
17. Alianzas para lograr los objetivos.</v>
      </c>
      <c r="C31" s="593" t="str">
        <f>+'PAI 2021 - V4'!B29</f>
        <v>Propósito 5
Logro de ciudad: 29 - 30</v>
      </c>
      <c r="D31" s="593" t="str">
        <f>+'PAI 2021 - V4'!C29</f>
        <v>Gestión presupuestal y eficiencia del gasto público.
Seguimiento y evaluación del desempeño institucional.</v>
      </c>
      <c r="E31" s="593" t="str">
        <f>+'PAI 2021 - V4'!D29</f>
        <v>05 - Fortalecer la capacidad organizacional de Capital para ser una empresa transparente, eficiente y sostenible.</v>
      </c>
      <c r="F31" s="593" t="str">
        <f>+'PAI 2021 - V4'!E29</f>
        <v>5.5. Fortalecimiento de la infraestructura física e interoperabilidad de Capital para la mejora de la gestión institucional.</v>
      </c>
      <c r="G31" s="593" t="str">
        <f>+'PAI 2021 - V4'!F30</f>
        <v xml:space="preserve">Adquirir e implementar un (1) sistema de inventario acorde a las necesidades del Canal. </v>
      </c>
      <c r="H31" s="593" t="str">
        <f>+'PAI 2021 - V4'!G30</f>
        <v xml:space="preserve">Sistema de inventario adquirido y 100% implementado. </v>
      </c>
      <c r="I31" s="593" t="str">
        <f>+'PAI 2021 - V4'!H30</f>
        <v>1 Eficacia: (cumplimiento de metas)</v>
      </c>
      <c r="J31" s="588" t="str">
        <f>+'PAI 2021 - V4'!I30</f>
        <v>5.5.2</v>
      </c>
      <c r="K31" s="588" t="str">
        <f>+'PAI 2021 - V4'!J30</f>
        <v>Adquisición de un nuevo sistema de inventario.</v>
      </c>
      <c r="L31" s="588" t="str">
        <f t="shared" si="0"/>
        <v>5.5.2 Adquisición de un nuevo sistema de inventario.</v>
      </c>
      <c r="M31" s="588" t="str">
        <f>+'PAI 2021 - V4'!K30</f>
        <v>Justificar la necesidad y realizar la adquisición de un sistema de inventarios confiable, que permita realizar reportes, estadísticas e informes, y que sea la única base de información de bienes del Canal entre el área administrativa y el área de contabilidad.</v>
      </c>
      <c r="N31" s="588" t="str">
        <f>+'PAI 2021 - V4'!L30</f>
        <v>Para el 2021 estructurar el Estudio de Mercado, para realizar la adquisición del nuevo sistema de inventario y su posterior implementación.</v>
      </c>
      <c r="O31" s="515" t="str">
        <f>+'PAI 2021 - V4'!M30</f>
        <v>Porcentaje de avance en la estructuración del estudio de mercado y posterior adquisición de un nuevo sistema de inventario.</v>
      </c>
      <c r="P31" s="588" t="str">
        <f>+'PAI 2021 - V4'!N30</f>
        <v>1 Eficacia: (cumplimiento de metas)</v>
      </c>
      <c r="Q31" s="588" t="str">
        <f>+'PAI 2021 - V4'!O30</f>
        <v>Medir la gestión que se realice para la asignación presupuestal para dar cabida a la adquisición de un nuevo sistema de inventario.</v>
      </c>
      <c r="R31" s="515" t="str">
        <f>+'PAI 2021 - V4'!P30</f>
        <v>Porcentaje de avance en la estructuración del estudio de mercado y adquisición / Estudio de mercado y adquisición programados para ejecución</v>
      </c>
      <c r="S31" s="516" t="s">
        <v>1252</v>
      </c>
      <c r="T31" s="516" t="s">
        <v>1095</v>
      </c>
      <c r="U31" s="588" t="str">
        <f>+'PAI 2021 - V4'!Q30</f>
        <v>Porcentaje (%).</v>
      </c>
      <c r="V31" s="588" t="str">
        <f>+'PAI 2021 - V4'!R30</f>
        <v>No aplica.</v>
      </c>
      <c r="W31" s="442">
        <f>+'PAI 2021 - V4'!S30</f>
        <v>0.1</v>
      </c>
      <c r="X31" s="400">
        <f>+'PAI 2021 - V4'!T30</f>
        <v>0.5</v>
      </c>
      <c r="Y31" s="400">
        <f>+'PAI 2021 - V4'!U30</f>
        <v>0.2</v>
      </c>
      <c r="Z31" s="400">
        <f>+'PAI 2021 - V4'!V30</f>
        <v>0.2</v>
      </c>
      <c r="AA31" s="401">
        <f>+'PAI 2021 - V4'!W30</f>
        <v>0</v>
      </c>
      <c r="AB31" s="401">
        <f>+'PAI 2021 - V4'!X30</f>
        <v>40000000</v>
      </c>
      <c r="AC31" s="401">
        <f>+'PAI 2021 - V4'!Y30</f>
        <v>10300000</v>
      </c>
      <c r="AD31" s="401">
        <f>+'PAI 2021 - V4'!Z30</f>
        <v>10609000</v>
      </c>
      <c r="AE31" s="588" t="str">
        <f>+'PAI 2021 - V4'!AA30</f>
        <v>* Estudio de Mercado 10%
* Presentación y Justificación del Proyecto 20%
* Adquisición nuevo sistema de inventarios 50%
*Implementación 20%</v>
      </c>
      <c r="AF31" s="588" t="str">
        <f>+'PAI 2021 - V4'!AB30</f>
        <v>Avances Estudio de Mercado / Estudio de Mercado Aprobado</v>
      </c>
      <c r="AG31" s="588" t="str">
        <f>+'PAI 2021 - V4'!AC30</f>
        <v>2 Eficiencia: (uso de los recursos)</v>
      </c>
      <c r="AH31" s="588" t="str">
        <f>+'PAI 2021 - V4'!AD30</f>
        <v>Porcentaje (%)</v>
      </c>
      <c r="AI31" s="588" t="str">
        <f>+'PAI 2021 - V4'!AE30</f>
        <v>Trimestral.</v>
      </c>
      <c r="AJ31" s="588" t="str">
        <f>+'PAI 2021 - V4'!AF30</f>
        <v>Implementar un sistema eficiente para el control de inventarios, junto con herramientas que faciliten la toma física de los bienes con tecnología de código de barras. El desarrollo del proyecto dependerá de los recursos que se asignen al mismo.</v>
      </c>
      <c r="AK31" s="306" t="str">
        <f>+'PAI 2021 - V4'!AG30</f>
        <v>Subdirectora Administrativa</v>
      </c>
      <c r="AL31" s="899" t="str">
        <f>+'PAI 2021 - V4'!AH30</f>
        <v xml:space="preserve">Técnico de Servicio Administrativos </v>
      </c>
      <c r="AM31" s="919">
        <f>0.25/1</f>
        <v>0.25</v>
      </c>
      <c r="AN31" s="717"/>
      <c r="AO31" s="717"/>
      <c r="AP31" s="717">
        <f>0/1</f>
        <v>0</v>
      </c>
      <c r="AQ31" s="717"/>
      <c r="AR31" s="717"/>
      <c r="AS31" s="717">
        <f>0.25/1</f>
        <v>0.25</v>
      </c>
      <c r="AT31" s="717"/>
      <c r="AU31" s="717"/>
      <c r="AV31" s="717">
        <f>0/1</f>
        <v>0</v>
      </c>
      <c r="AW31" s="717"/>
      <c r="AX31" s="920"/>
      <c r="AY31" s="366" t="str">
        <f t="shared" si="1"/>
        <v>5.5.2</v>
      </c>
      <c r="AZ31" s="389" t="s">
        <v>995</v>
      </c>
      <c r="BA31" s="592" t="s">
        <v>1219</v>
      </c>
      <c r="BB31" s="592" t="s">
        <v>1315</v>
      </c>
      <c r="BC31" s="592" t="s">
        <v>1386</v>
      </c>
      <c r="BD31" s="886" t="s">
        <v>1478</v>
      </c>
      <c r="BE31" s="888" t="s">
        <v>1004</v>
      </c>
      <c r="BG31" s="432" t="s">
        <v>1042</v>
      </c>
      <c r="BH31" s="432" t="s">
        <v>1035</v>
      </c>
      <c r="BI31" s="432" t="s">
        <v>1041</v>
      </c>
      <c r="BJ31" s="432" t="s">
        <v>1023</v>
      </c>
    </row>
    <row r="32" spans="1:62" s="27" customFormat="1" ht="129.75" customHeight="1" x14ac:dyDescent="0.2">
      <c r="A32" s="12" t="str">
        <f>+'PAI 2021 - V4'!I31</f>
        <v>5.5.3</v>
      </c>
      <c r="B32" s="593" t="str">
        <f>+'PAI 2021 - V4'!A29</f>
        <v>11. Ciudades y comunidades sostenibles.
17. Alianzas para lograr los objetivos.</v>
      </c>
      <c r="C32" s="593" t="str">
        <f>+'PAI 2021 - V4'!B29</f>
        <v>Propósito 5
Logro de ciudad: 29 - 30</v>
      </c>
      <c r="D32" s="593" t="str">
        <f>+'PAI 2021 - V4'!C29</f>
        <v>Gestión presupuestal y eficiencia del gasto público.
Seguimiento y evaluación del desempeño institucional.</v>
      </c>
      <c r="E32" s="593" t="str">
        <f>+'PAI 2021 - V4'!D29</f>
        <v>05 - Fortalecer la capacidad organizacional de Capital para ser una empresa transparente, eficiente y sostenible.</v>
      </c>
      <c r="F32" s="593" t="str">
        <f>+'PAI 2021 - V4'!E29</f>
        <v>5.5. Fortalecimiento de la infraestructura física e interoperabilidad de Capital para la mejora de la gestión institucional.</v>
      </c>
      <c r="G32" s="593" t="str">
        <f>+'PAI 2021 - V4'!F31</f>
        <v>Llevar a cabo el 100% de las adecuaciones de la casa de la 69.</v>
      </c>
      <c r="H32" s="593" t="str">
        <f>+'PAI 2021 - V4'!G31</f>
        <v>Intervenciones a la casa de la 69 realizadas / Intervenciones a la casa de la 69 realizadas</v>
      </c>
      <c r="I32" s="593" t="str">
        <f>+'PAI 2021 - V4'!H31</f>
        <v>1 Eficacia: (cumplimiento de metas)</v>
      </c>
      <c r="J32" s="588" t="str">
        <f>+'PAI 2021 - V4'!I31</f>
        <v>5.5.3</v>
      </c>
      <c r="K32" s="588" t="str">
        <f>+'PAI 2021 - V4'!J31</f>
        <v>Intervenciones iniciales de adecuación de la casa de la 69 respecto a la planificación establecida por el área.</v>
      </c>
      <c r="L32" s="588" t="str">
        <f t="shared" si="0"/>
        <v>5.5.3 Intervenciones iniciales de adecuación de la casa de la 69 respecto a la planificación establecida por el área.</v>
      </c>
      <c r="M32" s="588" t="str">
        <f>+'PAI 2021 - V4'!K31</f>
        <v>Mantener en óptimas condiciones las instalaciones, dado que este bien es catalogado como un bien de Patrimonio Cultural.</v>
      </c>
      <c r="N32" s="588" t="str">
        <f>+'PAI 2021 - V4'!L31</f>
        <v>Adecuaciones de la casa de la 69, en los siguientes aspectos: 
Herrajes de ventanería y puertas.
Ventanas 
Paredes</v>
      </c>
      <c r="O32" s="515" t="str">
        <f>+'PAI 2021 - V4'!M31</f>
        <v xml:space="preserve">Porcentaje de avances en las Intervenciones realizadas en el bien. </v>
      </c>
      <c r="P32" s="515" t="str">
        <f>+'PAI 2021 - V4'!N31</f>
        <v>1 Eficacia: (cumplimiento de metas)</v>
      </c>
      <c r="Q32" s="515" t="str">
        <f>+'PAI 2021 - V4'!O31</f>
        <v>Con este indicador se pretende medir el avance en el cumplimiento de las intervenciones realizadas a la casa de acuerdo con la disponibilidad presupuestal y la programación establecida.</v>
      </c>
      <c r="R32" s="515" t="str">
        <f>+'PAI 2021 - V4'!P31</f>
        <v>(Número de intervenciones realizadas / Número de Intervenciones Programadas)*100%</v>
      </c>
      <c r="S32" s="592" t="s">
        <v>888</v>
      </c>
      <c r="T32" s="592" t="s">
        <v>887</v>
      </c>
      <c r="U32" s="588" t="str">
        <f>+'PAI 2021 - V4'!Q31</f>
        <v>Porcentaje (%).</v>
      </c>
      <c r="V32" s="588" t="str">
        <f>+'PAI 2021 - V4'!R31</f>
        <v>No aplica.</v>
      </c>
      <c r="W32" s="442">
        <f>+'PAI 2021 - V4'!S31</f>
        <v>0.3</v>
      </c>
      <c r="X32" s="400">
        <f>+'PAI 2021 - V4'!T31</f>
        <v>0.3</v>
      </c>
      <c r="Y32" s="400">
        <f>+'PAI 2021 - V4'!U31</f>
        <v>0.2</v>
      </c>
      <c r="Z32" s="400">
        <f>+'PAI 2021 - V4'!V31</f>
        <v>0.2</v>
      </c>
      <c r="AA32" s="401">
        <f>+'PAI 2021 - V4'!W31</f>
        <v>30000000</v>
      </c>
      <c r="AB32" s="401">
        <f>+'PAI 2021 - V4'!X31</f>
        <v>30900000</v>
      </c>
      <c r="AC32" s="401">
        <f>+'PAI 2021 - V4'!Y31</f>
        <v>21200000</v>
      </c>
      <c r="AD32" s="401">
        <f>+'PAI 2021 - V4'!Z31</f>
        <v>21836000</v>
      </c>
      <c r="AE32" s="588" t="str">
        <f>+'PAI 2021 - V4'!AA31</f>
        <v>Adecuación de portería de la casa de la 69.  50%
Instalación de herrajes. 10%
Compra e instalación de vidrios. 10%
Pintura y mantenimiento de la casa. 20%</v>
      </c>
      <c r="AF32" s="588" t="str">
        <f>+'PAI 2021 - V4'!AB31</f>
        <v>Número de intervenciones realizadas / Número de Intervenciones Programadas.</v>
      </c>
      <c r="AG32" s="588" t="str">
        <f>+'PAI 2021 - V4'!AC31</f>
        <v>2 Eficiencia: (uso de los recursos)</v>
      </c>
      <c r="AH32" s="588" t="str">
        <f>+'PAI 2021 - V4'!AD31</f>
        <v>Porcentaje (%)</v>
      </c>
      <c r="AI32" s="588" t="str">
        <f>+'PAI 2021 - V4'!AE31</f>
        <v>Trimestral.</v>
      </c>
      <c r="AJ32" s="588" t="str">
        <f>+'PAI 2021 - V4'!AF31</f>
        <v>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v>
      </c>
      <c r="AK32" s="306" t="str">
        <f>+'PAI 2021 - V4'!AG31</f>
        <v>Subdirectora Administrativa</v>
      </c>
      <c r="AL32" s="899" t="str">
        <f>+'PAI 2021 - V4'!AH31</f>
        <v xml:space="preserve">Técnico de Servicio Administrativos </v>
      </c>
      <c r="AM32" s="921">
        <f>2/4</f>
        <v>0.5</v>
      </c>
      <c r="AN32" s="702"/>
      <c r="AO32" s="702"/>
      <c r="AP32" s="702">
        <f>1/4</f>
        <v>0.25</v>
      </c>
      <c r="AQ32" s="702"/>
      <c r="AR32" s="702"/>
      <c r="AS32" s="702">
        <f>0.15/1</f>
        <v>0.15</v>
      </c>
      <c r="AT32" s="702"/>
      <c r="AU32" s="702"/>
      <c r="AV32" s="702">
        <f>0.2/1</f>
        <v>0.2</v>
      </c>
      <c r="AW32" s="702"/>
      <c r="AX32" s="904"/>
      <c r="AY32" s="366" t="str">
        <f t="shared" si="1"/>
        <v>5.5.3</v>
      </c>
      <c r="AZ32" s="389" t="s">
        <v>1253</v>
      </c>
      <c r="BA32" s="592" t="s">
        <v>1220</v>
      </c>
      <c r="BB32" s="592" t="s">
        <v>1433</v>
      </c>
      <c r="BC32" s="592" t="s">
        <v>1387</v>
      </c>
      <c r="BD32" s="886" t="s">
        <v>1479</v>
      </c>
      <c r="BE32" s="888" t="s">
        <v>1006</v>
      </c>
      <c r="BG32" s="432" t="s">
        <v>1043</v>
      </c>
      <c r="BH32" s="432" t="s">
        <v>1036</v>
      </c>
      <c r="BI32" s="407" t="s">
        <v>1044</v>
      </c>
      <c r="BJ32" s="432" t="s">
        <v>1023</v>
      </c>
    </row>
    <row r="33" spans="1:62" s="27" customFormat="1" ht="409.5" customHeight="1" x14ac:dyDescent="0.2">
      <c r="A33" s="12" t="str">
        <f>+'PAI 2021 - V4'!I32</f>
        <v>3.2.1</v>
      </c>
      <c r="B33" s="593" t="str">
        <f>+'PAI 2021 - V4'!A32</f>
        <v>9. Industria, innovación e infraestructura.
16. Paz, justicia e instituciones sólidas.</v>
      </c>
      <c r="C33" s="593" t="str">
        <f>+'PAI 2021 - V4'!B32</f>
        <v>Propósito 1
Logro de ciudad: 5
Propósito 5
Logro de ciudad: 29 - 30</v>
      </c>
      <c r="D33" s="593" t="str">
        <f>+'PAI 2021 - V4'!C32</f>
        <v>Gobierno Digital.
Seguridad Digital.</v>
      </c>
      <c r="E33" s="593" t="str">
        <f>+'PAI 2021 - V4'!D32</f>
        <v>03 - Generar una cultura digital y de gestión del conocimiento para la optimización de los procesos internos y externos.</v>
      </c>
      <c r="F33" s="593" t="str">
        <f>+'PAI 2021 - V4'!E32</f>
        <v>3.2. Fortalecimiento de los servicios de tecnológicos, misionales y administrativos de Capital, bajo criterios de seguridad y privacidad de la información.</v>
      </c>
      <c r="G33" s="593" t="str">
        <f>+'PAI 2021 - V4'!F32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3" s="593" t="str">
        <f>+'PAI 2021 - V4'!G32</f>
        <v>Promedio de implementación de resultados del Plan Estratégico de Tecnologías de la Información - PETI 2021 - 2024para las vigencias de medición.</v>
      </c>
      <c r="I33" s="593" t="str">
        <f>+'PAI 2021 - V4'!H32</f>
        <v>2 Eficiencia: (uso de los recursos)</v>
      </c>
      <c r="J33" s="588" t="str">
        <f>+'PAI 2021 - V4'!I32</f>
        <v>3.2.1</v>
      </c>
      <c r="K33" s="588" t="str">
        <f>+'PAI 2021 - V4'!J32</f>
        <v>Plan Estratégico de Tecnologías de la Información - PETI 2021</v>
      </c>
      <c r="L33" s="588" t="str">
        <f t="shared" si="0"/>
        <v>3.2.1 Plan Estratégico de Tecnologías de la Información - PETI 2021</v>
      </c>
      <c r="M33" s="588" t="str">
        <f>+'PAI 2021 - V4'!K32</f>
        <v>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v>
      </c>
      <c r="N33" s="588" t="str">
        <f>+'PAI 2021 - V4'!L32</f>
        <v>Ejecutar el mapa de Ruta del PETI a partir del compendio de Proyectos de Tecnología de la entidad.</v>
      </c>
      <c r="O33" s="588" t="str">
        <f>+'PAI 2021 - V4'!M32</f>
        <v>Cumplimiento de actividades del PETI</v>
      </c>
      <c r="P33" s="588" t="str">
        <f>+'PAI 2021 - V4'!N32</f>
        <v>2 Eficiencia: (uso de los recursos)</v>
      </c>
      <c r="Q33" s="588" t="str">
        <f>+'PAI 2021 - V4'!O32</f>
        <v>Realizar el seguimiento al cumplimiento de las actividades programadas en el Plan Estratégico de tecnologías de la información - PETI</v>
      </c>
      <c r="R33" s="588" t="str">
        <f>+'PAI 2021 - V4'!P32</f>
        <v>(Porcentaje de avances en el cumplimiento de las acciones programadas en el Estratégico de tecnologías de la información - PETI / Porcentaje programado de cumplimiento del Plan Estratégico de de tecnologías de la información - PETI para la vigencia)*100%.</v>
      </c>
      <c r="S33" s="593" t="s">
        <v>891</v>
      </c>
      <c r="T33" s="593" t="s">
        <v>892</v>
      </c>
      <c r="U33" s="588" t="str">
        <f>+'PAI 2021 - V4'!Q32</f>
        <v>Porcentaje (%).</v>
      </c>
      <c r="V33" s="400">
        <f>+'PAI 2021 - V4'!R32</f>
        <v>0.69</v>
      </c>
      <c r="W33" s="442">
        <f>+'PAI 2021 - V4'!S32</f>
        <v>0.9</v>
      </c>
      <c r="X33" s="400">
        <f>+'PAI 2021 - V4'!T32</f>
        <v>0.9</v>
      </c>
      <c r="Y33" s="400">
        <f>+'PAI 2021 - V4'!U32</f>
        <v>0.9</v>
      </c>
      <c r="Z33" s="400">
        <f>+'PAI 2021 - V4'!V32</f>
        <v>0.9</v>
      </c>
      <c r="AA33" s="401">
        <f>+'PAI 2021 - V4'!W32</f>
        <v>412200000</v>
      </c>
      <c r="AB33" s="401">
        <f>+'PAI 2021 - V4'!X32</f>
        <v>212000000</v>
      </c>
      <c r="AC33" s="401">
        <f>+'PAI 2021 - V4'!Y32</f>
        <v>80000000</v>
      </c>
      <c r="AD33" s="401">
        <f>+'PAI 2021 - V4'!Z32</f>
        <v>0</v>
      </c>
      <c r="AE33" s="588" t="str">
        <f>+'PAI 2021 - V4'!AA32</f>
        <v>1. Planificación (20%)
2. Ejecución (80%)
3. Seguimiento al cumplimiento
4. Análisis y mejoramiento</v>
      </c>
      <c r="AF33" s="588" t="str">
        <f>+'PAI 2021 - V4'!AB32</f>
        <v>PETIC 2021-2024 ejecutado</v>
      </c>
      <c r="AG33" s="588" t="str">
        <f>+'PAI 2021 - V4'!AC32</f>
        <v>2 Eficiencia: (uso de los recursos)</v>
      </c>
      <c r="AH33" s="588" t="str">
        <f>+'PAI 2021 - V4'!AD32</f>
        <v>Porcentaje (%)</v>
      </c>
      <c r="AI33" s="588" t="str">
        <f>+'PAI 2021 - V4'!AE32</f>
        <v>Trimestral.</v>
      </c>
      <c r="AJ33" s="588" t="str">
        <f>+'PAI 2021 - V4'!AF32</f>
        <v>Derivado del presupuesto de inversión para el Fortalecimiento de la capacidad administrativa y tecnológica para la gestión institucional de Capital</v>
      </c>
      <c r="AK33" s="306" t="str">
        <f>+'PAI 2021 - V4'!AG32</f>
        <v>Subdirectora Administrativa</v>
      </c>
      <c r="AL33" s="899" t="str">
        <f>+'PAI 2021 - V4'!AH32</f>
        <v>Profesional de Sistemas</v>
      </c>
      <c r="AM33" s="921">
        <f>20/90</f>
        <v>0.22222222222222221</v>
      </c>
      <c r="AN33" s="702"/>
      <c r="AO33" s="702"/>
      <c r="AP33" s="702">
        <f>50/90</f>
        <v>0.55555555555555558</v>
      </c>
      <c r="AQ33" s="702"/>
      <c r="AR33" s="702"/>
      <c r="AS33" s="702">
        <f>70/90</f>
        <v>0.77777777777777779</v>
      </c>
      <c r="AT33" s="702"/>
      <c r="AU33" s="702"/>
      <c r="AV33" s="702">
        <f>90/90</f>
        <v>1</v>
      </c>
      <c r="AW33" s="702"/>
      <c r="AX33" s="904"/>
      <c r="AY33" s="366" t="str">
        <f t="shared" si="1"/>
        <v>3.2.1</v>
      </c>
      <c r="AZ33" s="389" t="s">
        <v>1254</v>
      </c>
      <c r="BA33" s="592" t="s">
        <v>1255</v>
      </c>
      <c r="BB33" s="592" t="s">
        <v>1434</v>
      </c>
      <c r="BC33" s="592" t="s">
        <v>1435</v>
      </c>
      <c r="BD33" s="886" t="s">
        <v>1521</v>
      </c>
      <c r="BE33" s="888" t="s">
        <v>1006</v>
      </c>
      <c r="BG33" s="432" t="s">
        <v>1046</v>
      </c>
      <c r="BH33" s="407" t="s">
        <v>1048</v>
      </c>
      <c r="BI33" s="407" t="s">
        <v>1049</v>
      </c>
      <c r="BJ33" s="432" t="s">
        <v>1023</v>
      </c>
    </row>
    <row r="34" spans="1:62" s="27" customFormat="1" ht="305.25" customHeight="1" x14ac:dyDescent="0.2">
      <c r="A34" s="12" t="str">
        <f>+'PAI 2021 - V4'!I33</f>
        <v>3.2.2</v>
      </c>
      <c r="B34" s="593" t="str">
        <f>+'PAI 2021 - V4'!A32</f>
        <v>9. Industria, innovación e infraestructura.
16. Paz, justicia e instituciones sólidas.</v>
      </c>
      <c r="C34" s="593" t="str">
        <f>+'PAI 2021 - V4'!B32</f>
        <v>Propósito 1
Logro de ciudad: 5
Propósito 5
Logro de ciudad: 29 - 30</v>
      </c>
      <c r="D34" s="593" t="str">
        <f>+'PAI 2021 - V4'!C32</f>
        <v>Gobierno Digital.
Seguridad Digital.</v>
      </c>
      <c r="E34" s="593" t="str">
        <f>+'PAI 2021 - V4'!D32</f>
        <v>03 - Generar una cultura digital y de gestión del conocimiento para la optimización de los procesos internos y externos.</v>
      </c>
      <c r="F34" s="593" t="str">
        <f>+'PAI 2021 - V4'!E32</f>
        <v>3.2. Fortalecimiento de los servicios de tecnológicos, misionales y administrativos de Capital, bajo criterios de seguridad y privacidad de la información.</v>
      </c>
      <c r="G34" s="593" t="str">
        <f>+'PAI 2021 - V4'!F32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4" s="593" t="str">
        <f>+'PAI 2021 - V4'!G33</f>
        <v>Promedio de implementación de resultados del Plan de Seguridad y Privacidad de la Información para las vigencias de medición.</v>
      </c>
      <c r="I34" s="593" t="str">
        <f>+'PAI 2021 - V4'!H33</f>
        <v>2 Eficiencia: (uso de los recursos)</v>
      </c>
      <c r="J34" s="588" t="str">
        <f>+'PAI 2021 - V4'!I33</f>
        <v>3.2.2</v>
      </c>
      <c r="K34" s="588" t="str">
        <f>+'PAI 2021 - V4'!J33</f>
        <v>Plan de Seguridad y Privacidad de la Información</v>
      </c>
      <c r="L34" s="588" t="str">
        <f t="shared" si="0"/>
        <v>3.2.2 Plan de Seguridad y Privacidad de la Información</v>
      </c>
      <c r="M34" s="588" t="str">
        <f>+'PAI 2021 - V4'!K33</f>
        <v>Fortalecer la plataforma tecnológica de la Entidad (Hardware y Software), manteniendo un esquema de alta disponibilidad y seguridad. (Anexo 8).</v>
      </c>
      <c r="N34" s="588" t="str">
        <f>+'PAI 2021 - V4'!L33</f>
        <v>Ejecutar el mapa de Ruta del PETI a partir del compendio de Proyectos de Tecnología de la entidad.</v>
      </c>
      <c r="O34" s="588" t="str">
        <f>+'PAI 2021 - V4'!M33</f>
        <v>Cumplimiento de actividades del Plan de seguridad y privacidad de la información</v>
      </c>
      <c r="P34" s="588" t="str">
        <f>+'PAI 2021 - V4'!N33</f>
        <v>2 Eficiencia: (uso de los recursos)</v>
      </c>
      <c r="Q34" s="588" t="str">
        <f>+'PAI 2021 - V4'!O33</f>
        <v>Realizar el seguimiento al cumplimiento de las actividades programadas en el Plan de seguridad y privacidad de la información</v>
      </c>
      <c r="R34" s="588" t="str">
        <f>+'PAI 2021 - V4'!P33</f>
        <v>(Porcentaje de avances en el cumplimiento de las acciones programadas en el Plan de seguridad y privacidad de la información / Porcentaje programado de cumplimiento del Plan de seguridad y privacidad de la información para la vigencia)*100%.</v>
      </c>
      <c r="S34" s="593" t="s">
        <v>890</v>
      </c>
      <c r="T34" s="593" t="s">
        <v>889</v>
      </c>
      <c r="U34" s="588" t="str">
        <f>+'PAI 2021 - V4'!Q33</f>
        <v>Porcentaje (%).</v>
      </c>
      <c r="V34" s="588" t="str">
        <f>+'PAI 2021 - V4'!R33</f>
        <v>No aplica.</v>
      </c>
      <c r="W34" s="442">
        <f>+'PAI 2021 - V4'!S33</f>
        <v>0.9</v>
      </c>
      <c r="X34" s="400">
        <f>+'PAI 2021 - V4'!T33</f>
        <v>0.9</v>
      </c>
      <c r="Y34" s="400">
        <f>+'PAI 2021 - V4'!U33</f>
        <v>0.9</v>
      </c>
      <c r="Z34" s="400">
        <f>+'PAI 2021 - V4'!V33</f>
        <v>0.9</v>
      </c>
      <c r="AA34" s="401">
        <f>+'PAI 2021 - V4'!W33</f>
        <v>330960000</v>
      </c>
      <c r="AB34" s="401">
        <f>+'PAI 2021 - V4'!X33</f>
        <v>230038800</v>
      </c>
      <c r="AC34" s="401">
        <f>+'PAI 2021 - V4'!Y33</f>
        <v>234239964</v>
      </c>
      <c r="AD34" s="401">
        <f>+'PAI 2021 - V4'!Z33</f>
        <v>148567162.91999999</v>
      </c>
      <c r="AE34" s="588" t="str">
        <f>+'PAI 2021 - V4'!AA33</f>
        <v>1. Planificación (20%)
2. Ejecución (80%)
3. Seguimiento al cumplimiento
4. Análisis y mejoramiento</v>
      </c>
      <c r="AF34" s="588" t="str">
        <f>+'PAI 2021 - V4'!AB33</f>
        <v>Plan de seguridad y privacidad de la información implementado</v>
      </c>
      <c r="AG34" s="588" t="str">
        <f>+'PAI 2021 - V4'!AC33</f>
        <v>2 Eficiencia: (uso de los recursos)</v>
      </c>
      <c r="AH34" s="588" t="str">
        <f>+'PAI 2021 - V4'!AD33</f>
        <v>Porcentaje (%)</v>
      </c>
      <c r="AI34" s="588" t="str">
        <f>+'PAI 2021 - V4'!AE33</f>
        <v>Trimestral.</v>
      </c>
      <c r="AJ34" s="588" t="str">
        <f>+'PAI 2021 - V4'!AF33</f>
        <v>Derivado del presupuesto de inversión para el Fortalecimiento de la capacidad administrativa y tecnológica para la gestión institucional de Capital</v>
      </c>
      <c r="AK34" s="306" t="str">
        <f>+'PAI 2021 - V4'!AG33</f>
        <v>Subdirectora Administrativa</v>
      </c>
      <c r="AL34" s="899" t="str">
        <f>+'PAI 2021 - V4'!AH33</f>
        <v>Profesional de Sistemas</v>
      </c>
      <c r="AM34" s="921">
        <f>20/90</f>
        <v>0.22222222222222221</v>
      </c>
      <c r="AN34" s="702"/>
      <c r="AO34" s="702"/>
      <c r="AP34" s="702">
        <f>40/90</f>
        <v>0.44444444444444442</v>
      </c>
      <c r="AQ34" s="702"/>
      <c r="AR34" s="702"/>
      <c r="AS34" s="702">
        <f>70/90</f>
        <v>0.77777777777777779</v>
      </c>
      <c r="AT34" s="702"/>
      <c r="AU34" s="702"/>
      <c r="AV34" s="702">
        <f t="shared" ref="AV34:AV35" si="3">90/90</f>
        <v>1</v>
      </c>
      <c r="AW34" s="702"/>
      <c r="AX34" s="904"/>
      <c r="AY34" s="366" t="str">
        <f t="shared" si="1"/>
        <v>3.2.2</v>
      </c>
      <c r="AZ34" s="389" t="s">
        <v>996</v>
      </c>
      <c r="BA34" s="592" t="s">
        <v>1221</v>
      </c>
      <c r="BB34" s="592" t="s">
        <v>1436</v>
      </c>
      <c r="BC34" s="592" t="s">
        <v>1388</v>
      </c>
      <c r="BD34" s="886" t="s">
        <v>1480</v>
      </c>
      <c r="BE34" s="888" t="s">
        <v>1006</v>
      </c>
      <c r="BG34" s="432" t="s">
        <v>1047</v>
      </c>
      <c r="BH34" s="432" t="s">
        <v>1050</v>
      </c>
      <c r="BI34" s="432" t="s">
        <v>1049</v>
      </c>
      <c r="BJ34" s="432" t="s">
        <v>1023</v>
      </c>
    </row>
    <row r="35" spans="1:62" s="27" customFormat="1" ht="222" customHeight="1" x14ac:dyDescent="0.2">
      <c r="A35" s="12" t="str">
        <f>+'PAI 2021 - V4'!I34</f>
        <v>3.2.3</v>
      </c>
      <c r="B35" s="593" t="str">
        <f>+'PAI 2021 - V4'!A32</f>
        <v>9. Industria, innovación e infraestructura.
16. Paz, justicia e instituciones sólidas.</v>
      </c>
      <c r="C35" s="593" t="str">
        <f>+'PAI 2021 - V4'!B32</f>
        <v>Propósito 1
Logro de ciudad: 5
Propósito 5
Logro de ciudad: 29 - 30</v>
      </c>
      <c r="D35" s="593" t="str">
        <f>+'PAI 2021 - V4'!C32</f>
        <v>Gobierno Digital.
Seguridad Digital.</v>
      </c>
      <c r="E35" s="593" t="str">
        <f>+'PAI 2021 - V4'!D32</f>
        <v>03 - Generar una cultura digital y de gestión del conocimiento para la optimización de los procesos internos y externos.</v>
      </c>
      <c r="F35" s="593" t="str">
        <f>+'PAI 2021 - V4'!E32</f>
        <v>3.2. Fortalecimiento de los servicios de tecnológicos, misionales y administrativos de Capital, bajo criterios de seguridad y privacidad de la información.</v>
      </c>
      <c r="G35" s="593" t="str">
        <f>+'PAI 2021 - V4'!F32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5" s="593" t="str">
        <f>+'PAI 2021 - V4'!G34</f>
        <v>Promedio de implementación de resultados del Plan de tratamiento de riesgos de seguridad y privacidad de la información para las vigencias de medición.</v>
      </c>
      <c r="I35" s="593" t="str">
        <f>+'PAI 2021 - V4'!H34</f>
        <v>2 Eficiencia: (uso de los recursos)</v>
      </c>
      <c r="J35" s="588" t="str">
        <f>+'PAI 2021 - V4'!I34</f>
        <v>3.2.3</v>
      </c>
      <c r="K35" s="588" t="str">
        <f>+'PAI 2021 - V4'!J34</f>
        <v>Plan de tratamiento de riesgos de seguridad y privacidad de la información.</v>
      </c>
      <c r="L35" s="588" t="str">
        <f t="shared" si="0"/>
        <v>3.2.3 Plan de tratamiento de riesgos de seguridad y privacidad de la información.</v>
      </c>
      <c r="M35" s="588" t="str">
        <f>+'PAI 2021 - V4'!K34</f>
        <v>Fortalecer la plataforma tecnológica de la Entidad (Hardware y Software), manteniendo un esquema de alta disponibilidad y seguridad. (Anexo 9).</v>
      </c>
      <c r="N35" s="588" t="str">
        <f>+'PAI 2021 - V4'!L34</f>
        <v>Ejecutar el mapa de Ruta del PETI a partir del compendio de Proyectos de Tecnología de la entidad.</v>
      </c>
      <c r="O35" s="588" t="str">
        <f>+'PAI 2021 - V4'!M34</f>
        <v>Cumplimiento de actividades del Plan de tratamiento de riesgos de seguridad y privacidad de la información</v>
      </c>
      <c r="P35" s="588" t="str">
        <f>+'PAI 2021 - V4'!N34</f>
        <v>2 Eficiencia: (uso de los recursos)</v>
      </c>
      <c r="Q35" s="588" t="str">
        <f>+'PAI 2021 - V4'!O34</f>
        <v>Realizar el seguimiento al cumplimiento de las actividades programadas en el Plan de tratamiento de riesgos de seguridad y privacidad de la información</v>
      </c>
      <c r="R35" s="588" t="str">
        <f>+'PAI 2021 - V4'!P34</f>
        <v>(Porcentaje de avances en el cumplimiento de las acciones programadas en el Plan de tratamiento de riesgos de seguridad y privacidad de la información / Porcentaje programado de cumplimiento del Plan de tratamiento de riesgos de  seguridad y privacidad de la información para la vigencia)*100%.</v>
      </c>
      <c r="S35" s="593" t="s">
        <v>893</v>
      </c>
      <c r="T35" s="593" t="s">
        <v>894</v>
      </c>
      <c r="U35" s="588" t="str">
        <f>+'PAI 2021 - V4'!Q34</f>
        <v>Porcentaje (%).</v>
      </c>
      <c r="V35" s="588" t="str">
        <f>+'PAI 2021 - V4'!R34</f>
        <v>No aplica.</v>
      </c>
      <c r="W35" s="442">
        <f>+'PAI 2021 - V4'!S34</f>
        <v>0.9</v>
      </c>
      <c r="X35" s="400">
        <f>+'PAI 2021 - V4'!T34</f>
        <v>0.9</v>
      </c>
      <c r="Y35" s="400">
        <f>+'PAI 2021 - V4'!U34</f>
        <v>0.9</v>
      </c>
      <c r="Z35" s="400">
        <f>+'PAI 2021 - V4'!V34</f>
        <v>0.9</v>
      </c>
      <c r="AA35" s="401">
        <f>+'PAI 2021 - V4'!W34</f>
        <v>0</v>
      </c>
      <c r="AB35" s="401">
        <f>+'PAI 2021 - V4'!X34</f>
        <v>0</v>
      </c>
      <c r="AC35" s="401">
        <f>+'PAI 2021 - V4'!Y34</f>
        <v>0</v>
      </c>
      <c r="AD35" s="401">
        <f>+'PAI 2021 - V4'!Z34</f>
        <v>0</v>
      </c>
      <c r="AE35" s="588" t="str">
        <f>+'PAI 2021 - V4'!AA34</f>
        <v>1. Planificación (20%)
2. Ejecución (80%)
3. Seguimiento al cumplimiento
4. Análisis y mejoramiento</v>
      </c>
      <c r="AF35" s="588" t="str">
        <f>+'PAI 2021 - V4'!AB34</f>
        <v>Plan de tratamiento de riesgos de seguridad y privacidad de la información implementado</v>
      </c>
      <c r="AG35" s="588" t="str">
        <f>+'PAI 2021 - V4'!AC34</f>
        <v>2 Eficiencia: (uso de los recursos)</v>
      </c>
      <c r="AH35" s="588" t="str">
        <f>+'PAI 2021 - V4'!AD34</f>
        <v>Porcentaje (%)</v>
      </c>
      <c r="AI35" s="588" t="str">
        <f>+'PAI 2021 - V4'!AE34</f>
        <v>Trimestral.</v>
      </c>
      <c r="AJ35" s="588" t="str">
        <f>+'PAI 2021 - V4'!AF34</f>
        <v>Derivado del presupuesto de inversión para el Fortalecimiento de la capacidad administrativa y tecnológica para la gestión institucional de Capital</v>
      </c>
      <c r="AK35" s="306" t="str">
        <f>+'PAI 2021 - V4'!AG34</f>
        <v>Subdirectora Administrativa</v>
      </c>
      <c r="AL35" s="899" t="str">
        <f>+'PAI 2021 - V4'!AH34</f>
        <v>Profesional de Sistemas</v>
      </c>
      <c r="AM35" s="921">
        <f>20/90</f>
        <v>0.22222222222222221</v>
      </c>
      <c r="AN35" s="702"/>
      <c r="AO35" s="702"/>
      <c r="AP35" s="702">
        <f>30/90</f>
        <v>0.33333333333333331</v>
      </c>
      <c r="AQ35" s="702"/>
      <c r="AR35" s="702"/>
      <c r="AS35" s="702">
        <f>60/90</f>
        <v>0.66666666666666663</v>
      </c>
      <c r="AT35" s="702"/>
      <c r="AU35" s="702"/>
      <c r="AV35" s="702">
        <f t="shared" si="3"/>
        <v>1</v>
      </c>
      <c r="AW35" s="702"/>
      <c r="AX35" s="904"/>
      <c r="AY35" s="366" t="str">
        <f t="shared" si="1"/>
        <v>3.2.3</v>
      </c>
      <c r="AZ35" s="389" t="s">
        <v>997</v>
      </c>
      <c r="BA35" s="592" t="s">
        <v>1222</v>
      </c>
      <c r="BB35" s="592" t="s">
        <v>1437</v>
      </c>
      <c r="BC35" s="592" t="s">
        <v>1438</v>
      </c>
      <c r="BD35" s="886" t="s">
        <v>1481</v>
      </c>
      <c r="BE35" s="888" t="s">
        <v>1006</v>
      </c>
      <c r="BG35" s="432" t="s">
        <v>1047</v>
      </c>
      <c r="BH35" s="432" t="s">
        <v>1050</v>
      </c>
      <c r="BI35" s="432" t="s">
        <v>1051</v>
      </c>
      <c r="BJ35" s="432" t="s">
        <v>1023</v>
      </c>
    </row>
    <row r="36" spans="1:62" s="27" customFormat="1" ht="300.75" customHeight="1" x14ac:dyDescent="0.2">
      <c r="A36" s="12" t="str">
        <f>+'PAI 2021 - V4'!I35</f>
        <v>3.2.4</v>
      </c>
      <c r="B36" s="593" t="str">
        <f>+'PAI 2021 - V4'!A32</f>
        <v>9. Industria, innovación e infraestructura.
16. Paz, justicia e instituciones sólidas.</v>
      </c>
      <c r="C36" s="593" t="str">
        <f>+'PAI 2021 - V4'!B32</f>
        <v>Propósito 1
Logro de ciudad: 5
Propósito 5
Logro de ciudad: 29 - 30</v>
      </c>
      <c r="D36" s="593" t="str">
        <f>+'PAI 2021 - V4'!C32</f>
        <v>Gobierno Digital.
Seguridad Digital.</v>
      </c>
      <c r="E36" s="593" t="str">
        <f>+'PAI 2021 - V4'!D32</f>
        <v>03 - Generar una cultura digital y de gestión del conocimiento para la optimización de los procesos internos y externos.</v>
      </c>
      <c r="F36" s="593" t="str">
        <f>+'PAI 2021 - V4'!E32</f>
        <v>3.2. Fortalecimiento de los servicios de tecnológicos, misionales y administrativos de Capital, bajo criterios de seguridad y privacidad de la información.</v>
      </c>
      <c r="G36" s="593" t="str">
        <f>+'PAI 2021 - V4'!F35</f>
        <v>Garantizar continuidad en la prestación del servicio superior al 90%</v>
      </c>
      <c r="H36" s="593" t="str">
        <f>+'PAI 2021 - V4'!G35</f>
        <v>Registro de la continuidad del servicio en términos de  porcentaje vs las fallas que se presentan durante el periodo de medición</v>
      </c>
      <c r="I36" s="593" t="str">
        <f>+'PAI 2021 - V4'!H35</f>
        <v>2 Eficiencia: (uso de los recursos)</v>
      </c>
      <c r="J36" s="588" t="str">
        <f>+'PAI 2021 - V4'!I35</f>
        <v>3.2.4</v>
      </c>
      <c r="K36" s="588" t="str">
        <f>+'PAI 2021 - V4'!J35</f>
        <v>Medición de la continuidad del servicio.</v>
      </c>
      <c r="L36" s="588" t="str">
        <f t="shared" si="0"/>
        <v>3.2.4 Medición de la continuidad del servicio.</v>
      </c>
      <c r="M36" s="588" t="str">
        <f>+'PAI 2021 - V4'!K35</f>
        <v>Garantizar la calidad y continuidad de la señal de transmisión del canal, evaluando y monitoreando el correcto funcionamiento de los equipos técnicos que intervienen en la cadena de emisión y transmisión.</v>
      </c>
      <c r="N36" s="588" t="str">
        <f>+'PAI 2021 - V4'!L35</f>
        <v>MECN-FT-048 Registro Monitoreo Señal Fuera del Aire</v>
      </c>
      <c r="O36" s="588" t="str">
        <f>+'PAI 2021 - V4'!M35</f>
        <v>Continuidad en la prestación del servicio</v>
      </c>
      <c r="P36" s="588" t="str">
        <f>+'PAI 2021 - V4'!N35</f>
        <v>3 Efectividad (impacto o beneficios generados)</v>
      </c>
      <c r="Q36" s="588" t="str">
        <f>+'PAI 2021 - V4'!O35</f>
        <v>Evaluar la estabilidad de la señal emitida, a través de la verificación de la continuidad y calidad de la misma.
El indicador mide el porcentaje de fallas que se presentan durante el periodo de medición y por ende permitirá determinar la estabilidad en la prestación del servicio. 
Este corresponde al tiempo en que el canal garantiza la entrega de señal para radiodifusión (TDT) y señal digital (Streaming)</v>
      </c>
      <c r="R36" s="588" t="str">
        <f>+'PAI 2021 - V4'!P35</f>
        <v>100% - (∑(Tiempo en minutos de falla de la seña del periodo reportado)/∑(tiempo en minutos de la señal programa total)*100%)</v>
      </c>
      <c r="S36" s="593" t="s">
        <v>940</v>
      </c>
      <c r="T36" s="593" t="s">
        <v>941</v>
      </c>
      <c r="U36" s="588" t="str">
        <f>+'PAI 2021 - V4'!Q35</f>
        <v>Porcentaje (%).</v>
      </c>
      <c r="V36" s="588" t="str">
        <f>+'PAI 2021 - V4'!R35</f>
        <v>No aplica.</v>
      </c>
      <c r="W36" s="442">
        <f>+'PAI 2021 - V4'!S35</f>
        <v>0.9</v>
      </c>
      <c r="X36" s="400">
        <f>+'PAI 2021 - V4'!T35</f>
        <v>0.9</v>
      </c>
      <c r="Y36" s="400">
        <f>+'PAI 2021 - V4'!U35</f>
        <v>0.9</v>
      </c>
      <c r="Z36" s="400">
        <f>+'PAI 2021 - V4'!V35</f>
        <v>0.9</v>
      </c>
      <c r="AA36" s="401" t="str">
        <f>+'PAI 2021 - V4'!W35</f>
        <v>-</v>
      </c>
      <c r="AB36" s="401" t="str">
        <f>+'PAI 2021 - V4'!X35</f>
        <v>-</v>
      </c>
      <c r="AC36" s="401" t="str">
        <f>+'PAI 2021 - V4'!Y35</f>
        <v>-</v>
      </c>
      <c r="AD36" s="401" t="str">
        <f>+'PAI 2021 - V4'!Z35</f>
        <v>-</v>
      </c>
      <c r="AE36" s="588" t="str">
        <f>+'PAI 2021 - V4'!AA35</f>
        <v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Nota: Se tendrán como exclusiones en la medición los mantenimientos programados que afecten el retorno de señal en alguno de los puntos de monitoreo. </v>
      </c>
      <c r="AF36" s="588" t="str">
        <f>+'PAI 2021 - V4'!AB35</f>
        <v>Cumplimiento del avance en las actividades de gestión definidas.</v>
      </c>
      <c r="AG36" s="588" t="str">
        <f>+'PAI 2021 - V4'!AC35</f>
        <v>1 Eficacia: (cumplimiento de metas)</v>
      </c>
      <c r="AH36" s="588" t="str">
        <f>+'PAI 2021 - V4'!AD35</f>
        <v>Porcentaje (%)</v>
      </c>
      <c r="AI36" s="588" t="str">
        <f>+'PAI 2021 - V4'!AE35</f>
        <v>Mensual.</v>
      </c>
      <c r="AJ36" s="588" t="str">
        <f>+'PAI 2021 - V4'!AF35</f>
        <v>No aplica.</v>
      </c>
      <c r="AK36" s="306" t="str">
        <f>+'PAI 2021 - V4'!AG35</f>
        <v>Director Operativo.</v>
      </c>
      <c r="AL36" s="899" t="str">
        <f>+'PAI 2021 - V4'!AH35</f>
        <v>Coordinadora área Técnica</v>
      </c>
      <c r="AM36" s="922">
        <f>1-(20/44640)</f>
        <v>0.99955197132616491</v>
      </c>
      <c r="AN36" s="408">
        <f>1-(14/40320)</f>
        <v>0.99965277777777772</v>
      </c>
      <c r="AO36" s="408">
        <f>1-(663/44640)</f>
        <v>0.98514784946236555</v>
      </c>
      <c r="AP36" s="408">
        <f>1-(415/43200)</f>
        <v>0.99039351851851853</v>
      </c>
      <c r="AQ36" s="408">
        <f>1-(0/44640)</f>
        <v>1</v>
      </c>
      <c r="AR36" s="408">
        <f>1-(0/43200)</f>
        <v>1</v>
      </c>
      <c r="AS36" s="408">
        <f>1-(0/44640)</f>
        <v>1</v>
      </c>
      <c r="AT36" s="408">
        <f>1-(30/44640)</f>
        <v>0.99932795698924726</v>
      </c>
      <c r="AU36" s="408">
        <f>1-(29/43200)</f>
        <v>0.99932870370370375</v>
      </c>
      <c r="AV36" s="408">
        <f>1-(0/444640)</f>
        <v>1</v>
      </c>
      <c r="AW36" s="408">
        <f>1-(0/43200)</f>
        <v>1</v>
      </c>
      <c r="AX36" s="923">
        <f>1-(0/444640)</f>
        <v>1</v>
      </c>
      <c r="AY36" s="366" t="str">
        <f t="shared" si="1"/>
        <v>3.2.4</v>
      </c>
      <c r="AZ36" s="389" t="s">
        <v>1256</v>
      </c>
      <c r="BA36" s="592" t="s">
        <v>1257</v>
      </c>
      <c r="BB36" s="592" t="s">
        <v>1439</v>
      </c>
      <c r="BC36" s="592" t="s">
        <v>1382</v>
      </c>
      <c r="BD36" s="886" t="s">
        <v>1482</v>
      </c>
      <c r="BE36" s="888" t="s">
        <v>1006</v>
      </c>
      <c r="BG36" s="432" t="s">
        <v>1018</v>
      </c>
      <c r="BH36" s="432" t="s">
        <v>1052</v>
      </c>
      <c r="BI36" s="432" t="s">
        <v>1242</v>
      </c>
      <c r="BJ36" s="432" t="s">
        <v>1023</v>
      </c>
    </row>
    <row r="37" spans="1:62" s="27" customFormat="1" ht="161.25" customHeight="1" x14ac:dyDescent="0.2">
      <c r="A37" s="12" t="str">
        <f>+'PAI 2021 - V4'!I36</f>
        <v>5.6.1</v>
      </c>
      <c r="B37" s="593" t="str">
        <f>+'PAI 2021 - V4'!A36</f>
        <v>3. Salud y bienestar.
8. Trabajo decente y crecimiento económico.
11. Ciudades y comunidades sostenibles.
16. Paz, justicia e instituciones sólidas.</v>
      </c>
      <c r="C37" s="593" t="str">
        <f>+'PAI 2021 - V4'!B36</f>
        <v>Propósito 1
Logro de ciudad: 3
Propósito 5
Logro de ciudad: 30</v>
      </c>
      <c r="D37" s="593" t="str">
        <f>+'PAI 2021 - V4'!C36</f>
        <v>Gestión estratégica del talento humano.
Integridad</v>
      </c>
      <c r="E37" s="593" t="str">
        <f>+'PAI 2021 - V4'!D36</f>
        <v>05 - Fortalecer la capacidad organizacional de Capital para ser una empresa transparente, eficiente y sostenible.</v>
      </c>
      <c r="F37" s="593" t="str">
        <f>+'PAI 2021 - V4'!E36</f>
        <v>5.6. Promoción del desarrollo integral de los colaboradores del Canal.</v>
      </c>
      <c r="G37" s="593" t="str">
        <f>+'PAI 2021 - V4'!F36</f>
        <v>Lograr la ejecución del 95% de los planes institucionales de recursos humanos (Plan estratégico de Recursos Humanos, Plan de bienestar e incentivos, Plan del Subsistema de Gestión de Seguridad y Salud en el Trabajo, SG-SST y Plan de integridad).</v>
      </c>
      <c r="H37" s="593" t="str">
        <f>+'PAI 2021 - V4'!G36</f>
        <v>Promedio de implementación de resultados del Plan estratégico de Recursos Humanos para las vigencias de medición.</v>
      </c>
      <c r="I37" s="593" t="str">
        <f>+'PAI 2021 - V4'!H36</f>
        <v>2 Eficiencia: (uso de los recursos)</v>
      </c>
      <c r="J37" s="588" t="str">
        <f>+'PAI 2021 - V4'!I36</f>
        <v>5.6.1</v>
      </c>
      <c r="K37" s="588" t="str">
        <f>+'PAI 2021 - V4'!J36</f>
        <v>Plan estratégico de Recursos Humanos</v>
      </c>
      <c r="L37" s="588" t="str">
        <f t="shared" si="0"/>
        <v>5.6.1 Plan estratégico de Recursos Humanos</v>
      </c>
      <c r="M37" s="588" t="str">
        <f>+'PAI 2021 - V4'!K36</f>
        <v>Contribuir al Mejoramiento de la Calidad de vida de los colaboradores de la Entidad, formulando y desarrollando programas que fomenten un ambiente de trabajo positivo generando así articulación y cumplimiento de los diferentes procesos internos. (Anexo 5).</v>
      </c>
      <c r="N37" s="588" t="str">
        <f>+'PAI 2021 - V4'!L36</f>
        <v>Documento escrito del plan de estratégico de Recursos Humanos 2021-2024</v>
      </c>
      <c r="O37" s="515" t="str">
        <f>+'PAI 2021 - V4'!M36</f>
        <v>Cumplimiento del plan estratégico de Recursos Humanos</v>
      </c>
      <c r="P37" s="588" t="str">
        <f>+'PAI 2021 - V4'!N36</f>
        <v>1 Eficacia: (cumplimiento de metas)</v>
      </c>
      <c r="Q37" s="588" t="str">
        <f>+'PAI 2021 - V4'!O36</f>
        <v>Realizar seguimiento al cumplimiento de las acciones definidas en el Plan Estratégico de Recursos Humanos de la vigencia 2021.</v>
      </c>
      <c r="R37" s="588" t="str">
        <f>+'PAI 2021 - V4'!P36</f>
        <v>(Porcentaje de avances en el cumplimiento de las acciones programadas en el Plan Estratégico de Recursos Humanos / Porcentaje programado de cumplimiento del Plan Estratégico de Recursos Humanos para la vigencia)*100%.</v>
      </c>
      <c r="S37" s="592" t="s">
        <v>895</v>
      </c>
      <c r="T37" s="592" t="s">
        <v>897</v>
      </c>
      <c r="U37" s="588" t="str">
        <f>+'PAI 2021 - V4'!Q36</f>
        <v>Porcentaje (%).</v>
      </c>
      <c r="V37" s="588" t="str">
        <f>+'PAI 2021 - V4'!R36</f>
        <v>No aplica.</v>
      </c>
      <c r="W37" s="442">
        <f>+'PAI 2021 - V4'!S36</f>
        <v>0.9</v>
      </c>
      <c r="X37" s="400">
        <f>+'PAI 2021 - V4'!T36</f>
        <v>0.9</v>
      </c>
      <c r="Y37" s="400">
        <f>+'PAI 2021 - V4'!U36</f>
        <v>0.9</v>
      </c>
      <c r="Z37" s="400">
        <f>+'PAI 2021 - V4'!V36</f>
        <v>0.9</v>
      </c>
      <c r="AA37" s="401">
        <f>+'PAI 2021 - V4'!W36</f>
        <v>34778222</v>
      </c>
      <c r="AB37" s="401">
        <f>+'PAI 2021 - V4'!X36</f>
        <v>0</v>
      </c>
      <c r="AC37" s="401">
        <f>+'PAI 2021 - V4'!Y36</f>
        <v>0</v>
      </c>
      <c r="AD37" s="401">
        <f>+'PAI 2021 - V4'!Z36</f>
        <v>0</v>
      </c>
      <c r="AE37" s="588" t="str">
        <f>+'PAI 2021 - V4'!AA36</f>
        <v>1. Planificación (20%)
2. Ejecución (50%)
3. Seguimiento al cumplimiento(20%)
4. Análisis y mejoramiento(10%)</v>
      </c>
      <c r="AF37" s="588" t="str">
        <f>+'PAI 2021 - V4'!AB36</f>
        <v>Indicador de cumplimiento del plan estratégico de recursos humanos
Cumplimiento de las actividades planeadas / el total de las actividades programadas en la materia. 
Plan Estratégico de Recursos Humanos implementado</v>
      </c>
      <c r="AG37" s="588" t="str">
        <f>+'PAI 2021 - V4'!AC36</f>
        <v>2 Eficiencia: (uso de los recursos)</v>
      </c>
      <c r="AH37" s="588" t="str">
        <f>+'PAI 2021 - V4'!AD36</f>
        <v>Porcentaje (%)</v>
      </c>
      <c r="AI37" s="588" t="str">
        <f>+'PAI 2021 - V4'!AE36</f>
        <v>Trimestral.</v>
      </c>
      <c r="AJ37" s="588" t="str">
        <f>+'PAI 2021 - V4'!AF36</f>
        <v>El presupuesto esta compuesto por los recursos del 3-1-1-02-04 remuneración de servicios técnicos, de Diana Martínez apoyo administrativo del área.</v>
      </c>
      <c r="AK37" s="306" t="str">
        <f>+'PAI 2021 - V4'!AG36</f>
        <v>Subdirectora Administrativa</v>
      </c>
      <c r="AL37" s="899" t="str">
        <f>+'PAI 2021 - V4'!AH36</f>
        <v>Profesional de Recursos Humanos</v>
      </c>
      <c r="AM37" s="921">
        <f>1/1</f>
        <v>1</v>
      </c>
      <c r="AN37" s="702"/>
      <c r="AO37" s="702"/>
      <c r="AP37" s="702">
        <f>1/1</f>
        <v>1</v>
      </c>
      <c r="AQ37" s="702"/>
      <c r="AR37" s="702"/>
      <c r="AS37" s="702">
        <f>1/1</f>
        <v>1</v>
      </c>
      <c r="AT37" s="702"/>
      <c r="AU37" s="702"/>
      <c r="AV37" s="702">
        <f>1/1</f>
        <v>1</v>
      </c>
      <c r="AW37" s="702"/>
      <c r="AX37" s="904"/>
      <c r="AY37" s="366" t="str">
        <f t="shared" si="1"/>
        <v>5.6.1</v>
      </c>
      <c r="AZ37" s="389" t="s">
        <v>998</v>
      </c>
      <c r="BA37" s="592" t="s">
        <v>1258</v>
      </c>
      <c r="BB37" s="592" t="s">
        <v>1440</v>
      </c>
      <c r="BC37" s="592" t="s">
        <v>1441</v>
      </c>
      <c r="BD37" s="886" t="s">
        <v>1483</v>
      </c>
      <c r="BE37" s="888" t="s">
        <v>1006</v>
      </c>
      <c r="BG37" s="407" t="s">
        <v>1053</v>
      </c>
      <c r="BH37" s="435" t="s">
        <v>1054</v>
      </c>
      <c r="BI37" s="407" t="s">
        <v>1055</v>
      </c>
      <c r="BJ37" s="432" t="s">
        <v>1023</v>
      </c>
    </row>
    <row r="38" spans="1:62" s="27" customFormat="1" ht="151.5" customHeight="1" x14ac:dyDescent="0.2">
      <c r="A38" s="12" t="str">
        <f>+'PAI 2021 - V4'!I37</f>
        <v>5.6.2</v>
      </c>
      <c r="B38" s="593" t="str">
        <f>+'PAI 2021 - V4'!A36</f>
        <v>3. Salud y bienestar.
8. Trabajo decente y crecimiento económico.
11. Ciudades y comunidades sostenibles.
16. Paz, justicia e instituciones sólidas.</v>
      </c>
      <c r="C38" s="593" t="str">
        <f>+'PAI 2021 - V4'!B36</f>
        <v>Propósito 1
Logro de ciudad: 3
Propósito 5
Logro de ciudad: 30</v>
      </c>
      <c r="D38" s="593" t="str">
        <f>+'PAI 2021 - V4'!C36</f>
        <v>Gestión estratégica del talento humano.
Integridad</v>
      </c>
      <c r="E38" s="593" t="str">
        <f>+'PAI 2021 - V4'!D36</f>
        <v>05 - Fortalecer la capacidad organizacional de Capital para ser una empresa transparente, eficiente y sostenible.</v>
      </c>
      <c r="F38" s="593" t="str">
        <f>+'PAI 2021 - V4'!E36</f>
        <v>5.6. Promoción del desarrollo integral de los colaboradores del Canal.</v>
      </c>
      <c r="G38" s="593" t="str">
        <f>+'PAI 2021 - V4'!F36</f>
        <v>Lograr la ejecución del 95% de los planes institucionales de recursos humanos (Plan estratégico de Recursos Humanos, Plan de bienestar e incentivos, Plan del Subsistema de Gestión de Seguridad y Salud en el Trabajo, SG-SST y Plan de integridad).</v>
      </c>
      <c r="H38" s="593" t="str">
        <f>+'PAI 2021 - V4'!G37</f>
        <v>Promedio de implementación de resultados del Plan de bienestar e incentivos para las vigencias de medición.</v>
      </c>
      <c r="I38" s="593" t="str">
        <f>+'PAI 2021 - V4'!H37</f>
        <v>2 Eficiencia: (uso de los recursos)</v>
      </c>
      <c r="J38" s="588" t="str">
        <f>+'PAI 2021 - V4'!I37</f>
        <v>5.6.2</v>
      </c>
      <c r="K38" s="588" t="str">
        <f>+'PAI 2021 - V4'!J37</f>
        <v xml:space="preserve">Plan de bienestar e incentivos </v>
      </c>
      <c r="L38" s="588" t="str">
        <f t="shared" si="0"/>
        <v xml:space="preserve">5.6.2 Plan de bienestar e incentivos </v>
      </c>
      <c r="M38" s="588" t="str">
        <f>+'PAI 2021 - V4'!K37</f>
        <v>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v>
      </c>
      <c r="N38" s="588" t="str">
        <f>+'PAI 2021 - V4'!L37</f>
        <v xml:space="preserve">Documento escrito del plan de Bienestar e Incentivos </v>
      </c>
      <c r="O38" s="515" t="str">
        <f>+'PAI 2021 - V4'!M37</f>
        <v>Cumplimiento del Plan de Bienestar e Incentivos</v>
      </c>
      <c r="P38" s="588" t="str">
        <f>+'PAI 2021 - V4'!N37</f>
        <v>1 Eficacia: (cumplimiento de metas)</v>
      </c>
      <c r="Q38" s="588" t="str">
        <f>+'PAI 2021 - V4'!O37</f>
        <v>Realizar el seguimiento al cumplimiento de las acciones definidas en el Plan de Bienestar e incentivos de la vigencia 2021.</v>
      </c>
      <c r="R38" s="588" t="str">
        <f>+'PAI 2021 - V4'!P37</f>
        <v>(Porcentaje de avances en el cumplimiento de las acciones programadas en el Plan de bienestar e inventivos / Porcentaje programado de cumplimiento del Plan de Bienestar e incentivos para la vigencia)*100%.</v>
      </c>
      <c r="S38" s="595" t="s">
        <v>896</v>
      </c>
      <c r="T38" s="595" t="s">
        <v>898</v>
      </c>
      <c r="U38" s="588" t="str">
        <f>+'PAI 2021 - V4'!Q37</f>
        <v>Porcentaje (%).</v>
      </c>
      <c r="V38" s="588" t="str">
        <f>+'PAI 2021 - V4'!R37</f>
        <v>No aplica.</v>
      </c>
      <c r="W38" s="442">
        <f>+'PAI 2021 - V4'!S37</f>
        <v>0.91</v>
      </c>
      <c r="X38" s="400">
        <f>+'PAI 2021 - V4'!T37</f>
        <v>0.91</v>
      </c>
      <c r="Y38" s="400">
        <f>+'PAI 2021 - V4'!U37</f>
        <v>0.91</v>
      </c>
      <c r="Z38" s="400">
        <f>+'PAI 2021 - V4'!V37</f>
        <v>0.91</v>
      </c>
      <c r="AA38" s="401">
        <f>+'PAI 2021 - V4'!W37</f>
        <v>35000000</v>
      </c>
      <c r="AB38" s="401">
        <f>+'PAI 2021 - V4'!X37</f>
        <v>36050000</v>
      </c>
      <c r="AC38" s="401">
        <f>+'PAI 2021 - V4'!Y37</f>
        <v>37131500</v>
      </c>
      <c r="AD38" s="401">
        <f>+'PAI 2021 - V4'!Z37</f>
        <v>38245445</v>
      </c>
      <c r="AE38" s="588" t="str">
        <f>+'PAI 2021 - V4'!AA37</f>
        <v>1. Planificación (20%)
2. Ejecución (50%)
3. Seguimiento al cumplimiento(20%)
4. Análisis y mejoramiento(10%)</v>
      </c>
      <c r="AF38" s="588" t="str">
        <f>+'PAI 2021 - V4'!AB37</f>
        <v>Indicador de cumplimiento del Plan de Bienestar e Incentivos 
Cumplimiento de las actividades planeadas / el total de las actividades programadas en la materia. 
Plan de bienestar e incentivos implementado</v>
      </c>
      <c r="AG38" s="588" t="str">
        <f>+'PAI 2021 - V4'!AC37</f>
        <v>2 Eficiencia: (uso de los recursos)</v>
      </c>
      <c r="AH38" s="588" t="str">
        <f>+'PAI 2021 - V4'!AD37</f>
        <v>Porcentaje (%)</v>
      </c>
      <c r="AI38" s="588" t="str">
        <f>+'PAI 2021 - V4'!AE37</f>
        <v>Trimestral.</v>
      </c>
      <c r="AJ38" s="588" t="str">
        <f>+'PAI 2021 - V4'!AF37</f>
        <v>No aplica.</v>
      </c>
      <c r="AK38" s="306" t="str">
        <f>+'PAI 2021 - V4'!AG37</f>
        <v>Subdirectora Administrativa</v>
      </c>
      <c r="AL38" s="899" t="str">
        <f>+'PAI 2021 - V4'!AH37</f>
        <v>Profesional de Recursos Humanos</v>
      </c>
      <c r="AM38" s="921">
        <f>100%/100%</f>
        <v>1</v>
      </c>
      <c r="AN38" s="702"/>
      <c r="AO38" s="702"/>
      <c r="AP38" s="702">
        <f>(28/27)/100%</f>
        <v>1.037037037037037</v>
      </c>
      <c r="AQ38" s="702"/>
      <c r="AR38" s="702"/>
      <c r="AS38" s="702">
        <f>110.7/100</f>
        <v>1.107</v>
      </c>
      <c r="AT38" s="702"/>
      <c r="AU38" s="702"/>
      <c r="AV38" s="702">
        <f>112.5/100</f>
        <v>1.125</v>
      </c>
      <c r="AW38" s="702"/>
      <c r="AX38" s="904"/>
      <c r="AY38" s="366" t="str">
        <f t="shared" si="1"/>
        <v>5.6.2</v>
      </c>
      <c r="AZ38" s="389" t="s">
        <v>999</v>
      </c>
      <c r="BA38" s="592" t="s">
        <v>1223</v>
      </c>
      <c r="BB38" s="592" t="s">
        <v>1317</v>
      </c>
      <c r="BC38" s="592" t="s">
        <v>1389</v>
      </c>
      <c r="BD38" s="886" t="s">
        <v>1484</v>
      </c>
      <c r="BE38" s="888" t="s">
        <v>1006</v>
      </c>
      <c r="BG38" s="432"/>
      <c r="BH38" s="407"/>
      <c r="BI38" s="407"/>
      <c r="BJ38" s="432"/>
    </row>
    <row r="39" spans="1:62" s="60" customFormat="1" ht="203.25" customHeight="1" x14ac:dyDescent="0.2">
      <c r="A39" s="12" t="str">
        <f>+'PAI 2021 - V4'!I38</f>
        <v>5.6.3</v>
      </c>
      <c r="B39" s="593" t="str">
        <f>+'PAI 2021 - V4'!A36</f>
        <v>3. Salud y bienestar.
8. Trabajo decente y crecimiento económico.
11. Ciudades y comunidades sostenibles.
16. Paz, justicia e instituciones sólidas.</v>
      </c>
      <c r="C39" s="593" t="str">
        <f>+'PAI 2021 - V4'!B36</f>
        <v>Propósito 1
Logro de ciudad: 3
Propósito 5
Logro de ciudad: 30</v>
      </c>
      <c r="D39" s="593" t="str">
        <f>+'PAI 2021 - V4'!C36</f>
        <v>Gestión estratégica del talento humano.
Integridad</v>
      </c>
      <c r="E39" s="593" t="str">
        <f>+'PAI 2021 - V4'!D36</f>
        <v>05 - Fortalecer la capacidad organizacional de Capital para ser una empresa transparente, eficiente y sostenible.</v>
      </c>
      <c r="F39" s="593" t="str">
        <f>+'PAI 2021 - V4'!E36</f>
        <v>5.6. Promoción del desarrollo integral de los colaboradores del Canal.</v>
      </c>
      <c r="G39" s="593" t="str">
        <f>+'PAI 2021 - V4'!F36</f>
        <v>Lograr la ejecución del 95% de los planes institucionales de recursos humanos (Plan estratégico de Recursos Humanos, Plan de bienestar e incentivos, Plan del Subsistema de Gestión de Seguridad y Salud en el Trabajo, SG-SST y Plan de integridad).</v>
      </c>
      <c r="H39" s="593" t="str">
        <f>+'PAI 2021 - V4'!G38</f>
        <v>Promedio de implementación de resultados del  Plan del Subsistema de Gestión de Seguridad y Salud en el Trabajo, SG-SST para las vigencias de medición.</v>
      </c>
      <c r="I39" s="593" t="str">
        <f>+'PAI 2021 - V4'!H38</f>
        <v>2 Eficiencia: (uso de los recursos)</v>
      </c>
      <c r="J39" s="588" t="str">
        <f>+'PAI 2021 - V4'!I38</f>
        <v>5.6.3</v>
      </c>
      <c r="K39" s="588" t="str">
        <f>+'PAI 2021 - V4'!J38</f>
        <v xml:space="preserve"> Plan del Subsistema de Gestión de Seguridad y Salud en el Trabajo, SG-SST </v>
      </c>
      <c r="L39" s="588" t="str">
        <f t="shared" si="0"/>
        <v xml:space="preserve">5.6.3  Plan del Subsistema de Gestión de Seguridad y Salud en el Trabajo, SG-SST </v>
      </c>
      <c r="M39" s="588" t="str">
        <f>+'PAI 2021 - V4'!K38</f>
        <v>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v>
      </c>
      <c r="N39" s="588" t="str">
        <f>+'PAI 2021 - V4'!L38</f>
        <v>Documento escrito del plan de Seguridad y Salud en el trabajo</v>
      </c>
      <c r="O39" s="515" t="str">
        <f>+'PAI 2021 - V4'!M38</f>
        <v>Cumplimiento del Plan de Seguridad y Salud formulado e implementado.</v>
      </c>
      <c r="P39" s="588" t="str">
        <f>+'PAI 2021 - V4'!N38</f>
        <v>1 Eficacia: (cumplimiento de metas)</v>
      </c>
      <c r="Q39" s="588" t="str">
        <f>+'PAI 2021 - V4'!O38</f>
        <v>Realizar el seguimiento al cumplimiento de las acciones definidas en el Plan de Seguridad y Salud en el trabajo de la vigencia 2021.</v>
      </c>
      <c r="R39" s="588" t="str">
        <f>+'PAI 2021 - V4'!P38</f>
        <v>(Porcentaje de avances en el cumplimiento de las acciones programadas en el Plan de Seguridad y Seguridad en el trabajo / Porcentaje programado de cumplimiento del Plan de Seguridad y Salud en el Trabajo para la vigencia)*100%.</v>
      </c>
      <c r="S39" s="592" t="s">
        <v>899</v>
      </c>
      <c r="T39" s="592" t="s">
        <v>900</v>
      </c>
      <c r="U39" s="588" t="str">
        <f>+'PAI 2021 - V4'!Q38</f>
        <v>Porcentaje (%).</v>
      </c>
      <c r="V39" s="588" t="str">
        <f>+'PAI 2021 - V4'!R38</f>
        <v>No aplica.</v>
      </c>
      <c r="W39" s="442">
        <f>+'PAI 2021 - V4'!S38</f>
        <v>0.8</v>
      </c>
      <c r="X39" s="400">
        <f>+'PAI 2021 - V4'!T38</f>
        <v>0.8</v>
      </c>
      <c r="Y39" s="400">
        <f>+'PAI 2021 - V4'!U38</f>
        <v>0.8</v>
      </c>
      <c r="Z39" s="400">
        <f>+'PAI 2021 - V4'!V38</f>
        <v>0.8</v>
      </c>
      <c r="AA39" s="401">
        <f>+'PAI 2021 - V4'!W38</f>
        <v>108106776</v>
      </c>
      <c r="AB39" s="401">
        <f>+'PAI 2021 - V4'!X38</f>
        <v>0</v>
      </c>
      <c r="AC39" s="401">
        <f>+'PAI 2021 - V4'!Y38</f>
        <v>0</v>
      </c>
      <c r="AD39" s="401">
        <f>+'PAI 2021 - V4'!Z38</f>
        <v>0</v>
      </c>
      <c r="AE39" s="588" t="str">
        <f>+'PAI 2021 - V4'!AA38</f>
        <v>1. Planificación (20%)
2. Ejecución (50%)
3. Seguimiento al cumplimiento
4. Análisis y mejoramiento</v>
      </c>
      <c r="AF39" s="588" t="str">
        <f>+'PAI 2021 - V4'!AB38</f>
        <v>Indicador de cumplimiento del Plan de Seguridad y Salud en el Trabajo.
Cumplimiento de las actividades planeadas / el total de las actividades programadas en la materia. 
Plan de Seguridad y salud en el trabajo implementado</v>
      </c>
      <c r="AG39" s="588" t="str">
        <f>+'PAI 2021 - V4'!AC38</f>
        <v>2 Eficiencia: (uso de los recursos)</v>
      </c>
      <c r="AH39" s="588" t="str">
        <f>+'PAI 2021 - V4'!AD38</f>
        <v>Porcentaje (%)</v>
      </c>
      <c r="AI39" s="588" t="str">
        <f>+'PAI 2021 - V4'!AE38</f>
        <v>Trimestral.</v>
      </c>
      <c r="AJ39" s="588" t="str">
        <f>+'PAI 2021 - V4'!AF38</f>
        <v>Esta meta esta compuesta por los siguientes rubros:
1. 3-4-1-16-05-56-7511-000  Fortalecimiento de la capacidad administrativa y tecnológica para la gestión institucional de Capital - Contrato de Juan Carlos Poveda $60.306.000
2. 3-1-2-02-13 - Salud Ocupacional $47.800.776</v>
      </c>
      <c r="AK39" s="306" t="str">
        <f>+'PAI 2021 - V4'!AG38</f>
        <v>Subdirectora Administrativa</v>
      </c>
      <c r="AL39" s="899" t="str">
        <f>+'PAI 2021 - V4'!AH38</f>
        <v>Profesional de Recursos Humanos</v>
      </c>
      <c r="AM39" s="921">
        <f>90/100</f>
        <v>0.9</v>
      </c>
      <c r="AN39" s="702"/>
      <c r="AO39" s="702"/>
      <c r="AP39" s="702">
        <f>90/100</f>
        <v>0.9</v>
      </c>
      <c r="AQ39" s="702"/>
      <c r="AR39" s="702"/>
      <c r="AS39" s="702">
        <f>95/100</f>
        <v>0.95</v>
      </c>
      <c r="AT39" s="702"/>
      <c r="AU39" s="702"/>
      <c r="AV39" s="702">
        <f>90/100</f>
        <v>0.9</v>
      </c>
      <c r="AW39" s="702"/>
      <c r="AX39" s="904"/>
      <c r="AY39" s="366" t="str">
        <f t="shared" si="1"/>
        <v>5.6.3</v>
      </c>
      <c r="AZ39" s="389" t="s">
        <v>1259</v>
      </c>
      <c r="BA39" s="592" t="s">
        <v>1260</v>
      </c>
      <c r="BB39" s="592" t="s">
        <v>1442</v>
      </c>
      <c r="BC39" s="592" t="s">
        <v>1443</v>
      </c>
      <c r="BD39" s="886" t="s">
        <v>1485</v>
      </c>
      <c r="BE39" s="888" t="s">
        <v>1006</v>
      </c>
      <c r="BG39" s="432" t="s">
        <v>1047</v>
      </c>
      <c r="BH39" s="435" t="s">
        <v>1056</v>
      </c>
      <c r="BI39" s="407" t="s">
        <v>1057</v>
      </c>
      <c r="BJ39" s="432" t="s">
        <v>1023</v>
      </c>
    </row>
    <row r="40" spans="1:62" s="60" customFormat="1" ht="142.5" customHeight="1" x14ac:dyDescent="0.2">
      <c r="A40" s="12" t="str">
        <f>+'PAI 2021 - V4'!I39</f>
        <v>5.6.4</v>
      </c>
      <c r="B40" s="593" t="str">
        <f>+'PAI 2021 - V4'!A36</f>
        <v>3. Salud y bienestar.
8. Trabajo decente y crecimiento económico.
11. Ciudades y comunidades sostenibles.
16. Paz, justicia e instituciones sólidas.</v>
      </c>
      <c r="C40" s="593" t="str">
        <f>+'PAI 2021 - V4'!B36</f>
        <v>Propósito 1
Logro de ciudad: 3
Propósito 5
Logro de ciudad: 30</v>
      </c>
      <c r="D40" s="593" t="str">
        <f>+'PAI 2021 - V4'!C36</f>
        <v>Gestión estratégica del talento humano.
Integridad</v>
      </c>
      <c r="E40" s="593" t="str">
        <f>+'PAI 2021 - V4'!D36</f>
        <v>05 - Fortalecer la capacidad organizacional de Capital para ser una empresa transparente, eficiente y sostenible.</v>
      </c>
      <c r="F40" s="593" t="str">
        <f>+'PAI 2021 - V4'!E36</f>
        <v>5.6. Promoción del desarrollo integral de los colaboradores del Canal.</v>
      </c>
      <c r="G40" s="593" t="str">
        <f>+'PAI 2021 - V4'!F36</f>
        <v>Lograr la ejecución del 95% de los planes institucionales de recursos humanos (Plan estratégico de Recursos Humanos, Plan de bienestar e incentivos, Plan del Subsistema de Gestión de Seguridad y Salud en el Trabajo, SG-SST y Plan de integridad).</v>
      </c>
      <c r="H40" s="593" t="str">
        <f>+'PAI 2021 - V4'!G39</f>
        <v>Promedio de implementación de resultados del Plan de Integridad para las vigencias de medición.</v>
      </c>
      <c r="I40" s="593" t="str">
        <f>+'PAI 2021 - V4'!H39</f>
        <v>2 Eficiencia: (uso de los recursos)</v>
      </c>
      <c r="J40" s="588" t="str">
        <f>+'PAI 2021 - V4'!I39</f>
        <v>5.6.4</v>
      </c>
      <c r="K40" s="588" t="str">
        <f>+'PAI 2021 - V4'!J39</f>
        <v>Plan de Integridad</v>
      </c>
      <c r="L40" s="588" t="str">
        <f t="shared" si="0"/>
        <v>5.6.4 Plan de Integridad</v>
      </c>
      <c r="M40" s="588" t="str">
        <f>+'PAI 2021 - V4'!K39</f>
        <v>Identificar las acciones encaminadas a la socialización y fortalecimiento del Código de Integridad de Canal Capital.</v>
      </c>
      <c r="N40" s="588" t="str">
        <f>+'PAI 2021 - V4'!L39</f>
        <v>Documento escrito del plan de integridad</v>
      </c>
      <c r="O40" s="515" t="str">
        <f>+'PAI 2021 - V4'!M39</f>
        <v>Cumplimiento del plan de integridad</v>
      </c>
      <c r="P40" s="588" t="str">
        <f>+'PAI 2021 - V4'!N39</f>
        <v>1 Eficacia: (cumplimiento de metas)</v>
      </c>
      <c r="Q40" s="588" t="str">
        <f>+'PAI 2021 - V4'!O39</f>
        <v>Realizar el seguimiento al cumplimiento de las acciones definidas en el Plan de integridad de la vigencia 2021.</v>
      </c>
      <c r="R40" s="588" t="str">
        <f>+'PAI 2021 - V4'!P39</f>
        <v>(Porcentaje de avances en el cumplimiento de las acciones programadas en el Plan de integridad / Porcentaje programado de cumplimiento del Plan de Integridad para la vigencia)*100%.</v>
      </c>
      <c r="S40" s="592" t="s">
        <v>902</v>
      </c>
      <c r="T40" s="592" t="s">
        <v>901</v>
      </c>
      <c r="U40" s="588" t="str">
        <f>+'PAI 2021 - V4'!Q39</f>
        <v>Porcentaje (%).</v>
      </c>
      <c r="V40" s="588" t="str">
        <f>+'PAI 2021 - V4'!R39</f>
        <v>No aplica.</v>
      </c>
      <c r="W40" s="442">
        <f>+'PAI 2021 - V4'!S39</f>
        <v>0.8</v>
      </c>
      <c r="X40" s="400">
        <f>+'PAI 2021 - V4'!T39</f>
        <v>0.8</v>
      </c>
      <c r="Y40" s="400">
        <f>+'PAI 2021 - V4'!U39</f>
        <v>0.8</v>
      </c>
      <c r="Z40" s="400">
        <f>+'PAI 2021 - V4'!V39</f>
        <v>0.8</v>
      </c>
      <c r="AA40" s="401">
        <f>+'PAI 2021 - V4'!W39</f>
        <v>0</v>
      </c>
      <c r="AB40" s="401">
        <f>+'PAI 2021 - V4'!X39</f>
        <v>0</v>
      </c>
      <c r="AC40" s="401">
        <f>+'PAI 2021 - V4'!Y39</f>
        <v>0</v>
      </c>
      <c r="AD40" s="401">
        <f>+'PAI 2021 - V4'!Z39</f>
        <v>0</v>
      </c>
      <c r="AE40" s="588" t="str">
        <f>+'PAI 2021 - V4'!AA39</f>
        <v>1. Planificación (20%)
2. Ejecución (50%)
3. Seguimiento al cumplimiento
4. Análisis y mejoramiento</v>
      </c>
      <c r="AF40" s="588" t="str">
        <f>+'PAI 2021 - V4'!AB39</f>
        <v>Indicador de cumplimiento del Plan de Integridad.
Cumplimiento de las actividades planeadas / el total de las actividades programadas en la materia. 
Plan de Integridad implementado</v>
      </c>
      <c r="AG40" s="588" t="str">
        <f>+'PAI 2021 - V4'!AC39</f>
        <v>2 Eficiencia: (uso de los recursos)</v>
      </c>
      <c r="AH40" s="588" t="str">
        <f>+'PAI 2021 - V4'!AD39</f>
        <v>Porcentaje (%)</v>
      </c>
      <c r="AI40" s="588" t="str">
        <f>+'PAI 2021 - V4'!AE39</f>
        <v>Trimestral.</v>
      </c>
      <c r="AJ40" s="588" t="str">
        <f>+'PAI 2021 - V4'!AF39</f>
        <v>No aplica.</v>
      </c>
      <c r="AK40" s="306" t="str">
        <f>+'PAI 2021 - V4'!AG39</f>
        <v>Subdirectora Administrativa</v>
      </c>
      <c r="AL40" s="899" t="str">
        <f>+'PAI 2021 - V4'!AH39</f>
        <v>Profesional de Recursos Humanos</v>
      </c>
      <c r="AM40" s="919">
        <f>60/100</f>
        <v>0.6</v>
      </c>
      <c r="AN40" s="717"/>
      <c r="AO40" s="717"/>
      <c r="AP40" s="717">
        <f>60/100</f>
        <v>0.6</v>
      </c>
      <c r="AQ40" s="717"/>
      <c r="AR40" s="717"/>
      <c r="AS40" s="717">
        <f>90/100</f>
        <v>0.9</v>
      </c>
      <c r="AT40" s="717"/>
      <c r="AU40" s="717"/>
      <c r="AV40" s="717">
        <f>100/100</f>
        <v>1</v>
      </c>
      <c r="AW40" s="717"/>
      <c r="AX40" s="920"/>
      <c r="AY40" s="366" t="str">
        <f t="shared" si="1"/>
        <v>5.6.4</v>
      </c>
      <c r="AZ40" s="881" t="s">
        <v>1444</v>
      </c>
      <c r="BA40" s="592" t="s">
        <v>1261</v>
      </c>
      <c r="BB40" s="592" t="s">
        <v>1445</v>
      </c>
      <c r="BC40" s="592" t="s">
        <v>1390</v>
      </c>
      <c r="BD40" s="886" t="s">
        <v>1486</v>
      </c>
      <c r="BE40" s="888" t="s">
        <v>1006</v>
      </c>
      <c r="BG40" s="407" t="s">
        <v>1058</v>
      </c>
      <c r="BH40" s="407" t="s">
        <v>1059</v>
      </c>
      <c r="BI40" s="407" t="s">
        <v>1060</v>
      </c>
      <c r="BJ40" s="432" t="s">
        <v>1023</v>
      </c>
    </row>
    <row r="41" spans="1:62" s="75" customFormat="1" ht="248.25" customHeight="1" x14ac:dyDescent="0.25">
      <c r="A41" s="12" t="str">
        <f>+'PAI 2021 - V4'!I40</f>
        <v>5.7.1</v>
      </c>
      <c r="B41" s="593" t="str">
        <f>+'PAI 2021 - V4'!A40</f>
        <v>6. Agua limpia y saneamiento.
7. Energía asequible y no contaminante.
12. Producción  y consumo responsable.
13. Acción por el clima.
15. Vida de ecosistemas terrestres.</v>
      </c>
      <c r="C41" s="593" t="str">
        <f>+'PAI 2021 - V4'!B40</f>
        <v>Propósito 2
Logro de ciudad: 14 - 18 - 20
Propósito 5
Logro de ciudad: 30</v>
      </c>
      <c r="D41" s="593" t="str">
        <f>+'PAI 2021 - V4'!C40</f>
        <v>Gestión Ambiental</v>
      </c>
      <c r="E41" s="593" t="str">
        <f>+'PAI 2021 - V4'!D40</f>
        <v>05 - Fortalecer la capacidad organizacional de Capital para ser una empresa transparente, eficiente y sostenible.</v>
      </c>
      <c r="F41" s="593" t="str">
        <f>+'PAI 2021 - V4'!E40</f>
        <v>5.7. Fortalecimiento de la cultura ambiental de Capital.</v>
      </c>
      <c r="G41" s="593" t="str">
        <f>+'PAI 2021 - V4'!F40</f>
        <v xml:space="preserve">Cumplir con el 100% de las metas anuales programadas respecto al Plan de Acción PIGA para cada vigencia </v>
      </c>
      <c r="H41" s="593" t="str">
        <f>+'PAI 2021 - V4'!G40</f>
        <v>Porcentaje de cumplimiento del PIGA respecto a la programación anual del Plan de Acción</v>
      </c>
      <c r="I41" s="593" t="str">
        <f>+'PAI 2021 - V4'!H40</f>
        <v>2 Eficiencia: (uso de los recursos)</v>
      </c>
      <c r="J41" s="588" t="str">
        <f>+'PAI 2021 - V4'!I40</f>
        <v>5.7.1</v>
      </c>
      <c r="K41" s="588" t="str">
        <f>+'PAI 2021 - V4'!J40</f>
        <v>Plan institucional de Gestión Ambiental - PIGA</v>
      </c>
      <c r="L41" s="588" t="str">
        <f t="shared" si="0"/>
        <v>5.7.1 Plan institucional de Gestión Ambiental - PIGA</v>
      </c>
      <c r="M41" s="588" t="str">
        <f>+'PAI 2021 - V4'!K40</f>
        <v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v>
      </c>
      <c r="N41" s="588" t="str">
        <f>+'PAI 2021 - V4'!L40</f>
        <v>Plan de Acción PIGA implementado y con seguimientos</v>
      </c>
      <c r="O41" s="515" t="str">
        <f>+'PAI 2021 - V4'!M40</f>
        <v>Cumplimiento del Plan Institucional de Gestión Ambiental - PIGA</v>
      </c>
      <c r="P41" s="588" t="str">
        <f>+'PAI 2021 - V4'!N40</f>
        <v>1 Eficacia: (cumplimiento de metas)</v>
      </c>
      <c r="Q41" s="588" t="str">
        <f>+'PAI 2021 - V4'!O40</f>
        <v>Se espera llevar el seguimiento de la implementación de las acciones establecidas en el Plan de Acción PIGA para cada vigencia en coherencia con la concertación para el periodo 2021-2024</v>
      </c>
      <c r="R41" s="588" t="str">
        <f>+'PAI 2021 - V4'!P40</f>
        <v>(No. De actividades ejecutadas / No. De actividades programadas)*100%</v>
      </c>
      <c r="S41" s="588" t="s">
        <v>905</v>
      </c>
      <c r="T41" s="588" t="s">
        <v>906</v>
      </c>
      <c r="U41" s="588" t="str">
        <f>+'PAI 2021 - V4'!Q40</f>
        <v>Porcentaje (%).</v>
      </c>
      <c r="V41" s="588" t="str">
        <f>+'PAI 2021 - V4'!R40</f>
        <v>No aplica.</v>
      </c>
      <c r="W41" s="442">
        <f>+'PAI 2021 - V4'!S40</f>
        <v>1</v>
      </c>
      <c r="X41" s="400">
        <f>+'PAI 2021 - V4'!T40</f>
        <v>1</v>
      </c>
      <c r="Y41" s="400">
        <f>+'PAI 2021 - V4'!U40</f>
        <v>1</v>
      </c>
      <c r="Z41" s="400">
        <f>+'PAI 2021 - V4'!V40</f>
        <v>1</v>
      </c>
      <c r="AA41" s="401">
        <f>+'PAI 2021 - V4'!W40</f>
        <v>22660000</v>
      </c>
      <c r="AB41" s="401">
        <f>+'PAI 2021 - V4'!X40</f>
        <v>23339800</v>
      </c>
      <c r="AC41" s="401">
        <f>+'PAI 2021 - V4'!Y40</f>
        <v>24039994</v>
      </c>
      <c r="AD41" s="401">
        <f>+'PAI 2021 - V4'!Z40</f>
        <v>24761193.82</v>
      </c>
      <c r="AE41" s="588" t="str">
        <f>+'PAI 2021 - V4'!AA40</f>
        <v>Formulación del Plan de Acción anual PIGA (15%)
Ejecución de las actividades programadas (70%)
Seguimiento semestral del Plan de Acción para informes ante la SDA. (15%)</v>
      </c>
      <c r="AF41" s="588" t="str">
        <f>+'PAI 2021 - V4'!AB40</f>
        <v>Cumplimiento de las actividades de gestión, según su ponderación.</v>
      </c>
      <c r="AG41" s="588" t="str">
        <f>+'PAI 2021 - V4'!AC40</f>
        <v>2 Eficiencia: (uso de los recursos)</v>
      </c>
      <c r="AH41" s="588" t="str">
        <f>+'PAI 2021 - V4'!AD40</f>
        <v>Porcentaje (%)</v>
      </c>
      <c r="AI41" s="588" t="str">
        <f>+'PAI 2021 - V4'!AE40</f>
        <v>Trimestral.</v>
      </c>
      <c r="AJ41" s="588" t="str">
        <f>+'PAI 2021 - V4'!AF40</f>
        <v>No aplica.</v>
      </c>
      <c r="AK41" s="306" t="str">
        <f>+'PAI 2021 - V4'!AG40</f>
        <v>Subdirectora Administrativa</v>
      </c>
      <c r="AL41" s="899" t="str">
        <f>+'PAI 2021 - V4'!AH40</f>
        <v>Profesional de apoyo de Planeación (referente ambiental)</v>
      </c>
      <c r="AM41" s="919">
        <f>4.5/4.5</f>
        <v>1</v>
      </c>
      <c r="AN41" s="717"/>
      <c r="AO41" s="717"/>
      <c r="AP41" s="703">
        <f>17.4/21.4</f>
        <v>0.81308411214953269</v>
      </c>
      <c r="AQ41" s="703"/>
      <c r="AR41" s="703"/>
      <c r="AS41" s="703">
        <f>34.4/35</f>
        <v>0.98285714285714276</v>
      </c>
      <c r="AT41" s="703"/>
      <c r="AU41" s="703"/>
      <c r="AV41" s="703">
        <f>28.1/33.1</f>
        <v>0.84894259818731121</v>
      </c>
      <c r="AW41" s="703"/>
      <c r="AX41" s="924"/>
      <c r="AY41" s="366" t="str">
        <f t="shared" si="1"/>
        <v>5.7.1</v>
      </c>
      <c r="AZ41" s="389" t="s">
        <v>1000</v>
      </c>
      <c r="BA41" s="592" t="s">
        <v>1262</v>
      </c>
      <c r="BB41" s="592" t="s">
        <v>1446</v>
      </c>
      <c r="BC41" s="592" t="s">
        <v>1447</v>
      </c>
      <c r="BD41" s="886" t="s">
        <v>1487</v>
      </c>
      <c r="BE41" s="888" t="s">
        <v>1006</v>
      </c>
      <c r="BG41" s="432" t="s">
        <v>1018</v>
      </c>
      <c r="BH41" s="435" t="s">
        <v>1061</v>
      </c>
      <c r="BI41" s="435" t="s">
        <v>1057</v>
      </c>
      <c r="BJ41" s="432" t="s">
        <v>1023</v>
      </c>
    </row>
    <row r="42" spans="1:62" s="10" customFormat="1" ht="173.25" customHeight="1" x14ac:dyDescent="0.25">
      <c r="A42" s="12" t="str">
        <f>+'PAI 2021 - V4'!I41</f>
        <v>5.8.1</v>
      </c>
      <c r="B42" s="593" t="str">
        <f>+'PAI 2021 - V4'!A41</f>
        <v>8. Trabajo decente y crecimiento económico.
16. Paz, justicia e instituciones sólidas.</v>
      </c>
      <c r="C42" s="593" t="str">
        <f>+'PAI 2021 - V4'!B41</f>
        <v>Propósito 5
Logro de ciudad: 30</v>
      </c>
      <c r="D42" s="593" t="str">
        <f>+'PAI 2021 - V4'!C41</f>
        <v>Gestión presupuestal y eficiencia del gasto público.</v>
      </c>
      <c r="E42" s="593" t="str">
        <f>+'PAI 2021 - V4'!D41</f>
        <v>05 - Fortalecer la capacidad organizacional de Capital para ser una empresa transparente, eficiente y sostenible.</v>
      </c>
      <c r="F42" s="593" t="str">
        <f>+'PAI 2021 - V4'!E41</f>
        <v>5.8. Plan estratégico financiero como mecanismo para la  optimización y eficiencia de los recursos económicos.</v>
      </c>
      <c r="G42" s="593" t="str">
        <f>+'PAI 2021 - V4'!F41</f>
        <v>Lograr la optimización de los recursos anuales, alcanzando como mínimo un punto de equilibrio entre el ingreso y gasto</v>
      </c>
      <c r="H42" s="593" t="str">
        <f>+'PAI 2021 - V4'!G41</f>
        <v>Valor recaudado en ingresos / Gastos comprometidos</v>
      </c>
      <c r="I42" s="593" t="str">
        <f>+'PAI 2021 - V4'!H41</f>
        <v>2 Eficiencia: (uso de los recursos)</v>
      </c>
      <c r="J42" s="588" t="str">
        <f>+'PAI 2021 - V4'!I41</f>
        <v>5.8.1</v>
      </c>
      <c r="K42" s="588" t="str">
        <f>+'PAI 2021 - V4'!J41</f>
        <v>Finanzas para pensar</v>
      </c>
      <c r="L42" s="588" t="str">
        <f t="shared" si="0"/>
        <v>5.8.1 Finanzas para pensar</v>
      </c>
      <c r="M42" s="588" t="str">
        <f>+'PAI 2021 - V4'!K41</f>
        <v>1. Generar resultados con superávit.
2.  Eficiencia y oportunidad en el pago de cuentas.
3. Eficiencia y oportunidad en la presentación de información contable
4. Cumplimiento de los tiempos establecidos para la facturación</v>
      </c>
      <c r="N42" s="588" t="str">
        <f>+'PAI 2021 - V4'!L41</f>
        <v>Ejecución Presupuestal</v>
      </c>
      <c r="O42" s="588" t="str">
        <f>+'PAI 2021 - V4'!M41</f>
        <v>Optimización de recursos</v>
      </c>
      <c r="P42" s="588" t="str">
        <f>+'PAI 2021 - V4'!N41</f>
        <v>1 Eficacia: (cumplimiento de metas)</v>
      </c>
      <c r="Q42" s="588" t="str">
        <f>+'PAI 2021 - V4'!O41</f>
        <v>Establecer el superávit permanente en las operaciones de la empresa.</v>
      </c>
      <c r="R42" s="588" t="str">
        <f>+'PAI 2021 - V4'!P41</f>
        <v>Recaudo Acumulado de Recursos Propios  / Compromisos Acumulados de Recursos Propios</v>
      </c>
      <c r="S42" s="515" t="s">
        <v>907</v>
      </c>
      <c r="T42" s="515" t="s">
        <v>903</v>
      </c>
      <c r="U42" s="588" t="str">
        <f>+'PAI 2021 - V4'!Q41</f>
        <v>Porcentaje (%).</v>
      </c>
      <c r="V42" s="588" t="str">
        <f>+'PAI 2021 - V4'!R41</f>
        <v>No aplica.</v>
      </c>
      <c r="W42" s="306" t="str">
        <f>+'PAI 2021 - V4'!S41</f>
        <v>≥ 1</v>
      </c>
      <c r="X42" s="588" t="str">
        <f>+'PAI 2021 - V4'!T41</f>
        <v>≥ 1</v>
      </c>
      <c r="Y42" s="588" t="str">
        <f>+'PAI 2021 - V4'!U41</f>
        <v>≥ 1</v>
      </c>
      <c r="Z42" s="588" t="str">
        <f>+'PAI 2021 - V4'!V41</f>
        <v>≥ 1</v>
      </c>
      <c r="AA42" s="401">
        <f>+'PAI 2021 - V4'!W41</f>
        <v>390698364</v>
      </c>
      <c r="AB42" s="401">
        <f>+'PAI 2021 - V4'!X41</f>
        <v>402419314.92000002</v>
      </c>
      <c r="AC42" s="401">
        <f>+'PAI 2021 - V4'!Y41</f>
        <v>414491894.36760002</v>
      </c>
      <c r="AD42" s="401">
        <f>+'PAI 2021 - V4'!Z41</f>
        <v>426926651.19862801</v>
      </c>
      <c r="AE42" s="588" t="str">
        <f>+'PAI 2021 - V4'!AA41</f>
        <v>1.  Comparar el ingreso frente al gasto de recursos propios y generar alertas.</v>
      </c>
      <c r="AF42" s="588" t="str">
        <f>+'PAI 2021 - V4'!AB41</f>
        <v>Cumplimiento de las actividades de gestión, según su ponderación.</v>
      </c>
      <c r="AG42" s="588" t="str">
        <f>+'PAI 2021 - V4'!AC41</f>
        <v>1 Eficacia: (cumplimiento de metas)</v>
      </c>
      <c r="AH42" s="588" t="str">
        <f>+'PAI 2021 - V4'!AD41</f>
        <v>Número (#)</v>
      </c>
      <c r="AI42" s="588" t="str">
        <f>+'PAI 2021 - V4'!AE41</f>
        <v>Trimestral.</v>
      </c>
      <c r="AJ42" s="588" t="str">
        <f>+'PAI 2021 - V4'!AF41</f>
        <v>El presupuesto distribuido corresponde con el valor global asignado al equipo de la Subdirección Financiera.</v>
      </c>
      <c r="AK42" s="306" t="str">
        <f>+'PAI 2021 - V4'!AG41</f>
        <v>Subdirector Financiero</v>
      </c>
      <c r="AL42" s="899" t="str">
        <f>+'PAI 2021 - V4'!AH41</f>
        <v>Profesional de Presupuesto</v>
      </c>
      <c r="AM42" s="925">
        <f>4033857025/5562475521</f>
        <v>0.72519097113703956</v>
      </c>
      <c r="AN42" s="703"/>
      <c r="AO42" s="703"/>
      <c r="AP42" s="703">
        <f>4783668153/(7690768611-144200000)</f>
        <v>0.6338865250661404</v>
      </c>
      <c r="AQ42" s="703"/>
      <c r="AR42" s="703"/>
      <c r="AS42" s="703">
        <f>7197225026/10158823523</f>
        <v>0.70847032726822967</v>
      </c>
      <c r="AT42" s="703"/>
      <c r="AU42" s="703"/>
      <c r="AV42" s="703">
        <f>12179315543.2/11054325023</f>
        <v>1.101769263872675</v>
      </c>
      <c r="AW42" s="703"/>
      <c r="AX42" s="924"/>
      <c r="AY42" s="366" t="str">
        <f t="shared" si="1"/>
        <v>5.8.1</v>
      </c>
      <c r="AZ42" s="388" t="s">
        <v>1263</v>
      </c>
      <c r="BA42" s="590" t="s">
        <v>1225</v>
      </c>
      <c r="BB42" s="590" t="s">
        <v>1311</v>
      </c>
      <c r="BC42" s="590" t="s">
        <v>1391</v>
      </c>
      <c r="BD42" s="886" t="s">
        <v>1488</v>
      </c>
      <c r="BE42" s="888" t="s">
        <v>1006</v>
      </c>
      <c r="BG42" s="407"/>
      <c r="BH42" s="407"/>
      <c r="BI42" s="435"/>
      <c r="BJ42" s="432"/>
    </row>
    <row r="43" spans="1:62" s="10" customFormat="1" ht="172.5" customHeight="1" x14ac:dyDescent="0.25">
      <c r="A43" s="12" t="str">
        <f>+'PAI 2021 - V4'!I42</f>
        <v>5.8.2</v>
      </c>
      <c r="B43" s="593" t="str">
        <f>+'PAI 2021 - V4'!A41</f>
        <v>8. Trabajo decente y crecimiento económico.
16. Paz, justicia e instituciones sólidas.</v>
      </c>
      <c r="C43" s="593" t="str">
        <f>+'PAI 2021 - V4'!B41</f>
        <v>Propósito 5
Logro de ciudad: 30</v>
      </c>
      <c r="D43" s="593" t="str">
        <f>+'PAI 2021 - V4'!C41</f>
        <v>Gestión presupuestal y eficiencia del gasto público.</v>
      </c>
      <c r="E43" s="593" t="str">
        <f>+'PAI 2021 - V4'!D41</f>
        <v>05 - Fortalecer la capacidad organizacional de Capital para ser una empresa transparente, eficiente y sostenible.</v>
      </c>
      <c r="F43" s="593" t="str">
        <f>+'PAI 2021 - V4'!E41</f>
        <v>5.8. Plan estratégico financiero como mecanismo para la  optimización y eficiencia de los recursos económicos.</v>
      </c>
      <c r="G43" s="593" t="str">
        <f>+'PAI 2021 - V4'!F41</f>
        <v>Lograr la optimización de los recursos anuales, alcanzando como mínimo un punto de equilibrio entre el ingreso y gasto</v>
      </c>
      <c r="H43" s="593" t="str">
        <f>+'PAI 2021 - V4'!G41</f>
        <v>Valor recaudado en ingresos / Gastos comprometidos</v>
      </c>
      <c r="I43" s="593" t="str">
        <f>+'PAI 2021 - V4'!H41</f>
        <v>2 Eficiencia: (uso de los recursos)</v>
      </c>
      <c r="J43" s="588" t="str">
        <f>+'PAI 2021 - V4'!I42</f>
        <v>5.8.2</v>
      </c>
      <c r="K43" s="588" t="str">
        <f>+'PAI 2021 - V4'!J41</f>
        <v>Finanzas para pensar</v>
      </c>
      <c r="L43" s="588" t="str">
        <f t="shared" si="0"/>
        <v>5.8.2 Finanzas para pensar</v>
      </c>
      <c r="M43" s="588" t="str">
        <f>+'PAI 2021 - V4'!K41</f>
        <v>1. Generar resultados con superávit.
2.  Eficiencia y oportunidad en el pago de cuentas.
3. Eficiencia y oportunidad en la presentación de información contable
4. Cumplimiento de los tiempos establecidos para la facturación</v>
      </c>
      <c r="N43" s="588" t="str">
        <f>+'PAI 2021 - V4'!L42</f>
        <v>Ordenes de pago tramitadas y pagadas dentro del periodo correspondiente.</v>
      </c>
      <c r="O43" s="515" t="str">
        <f>+'PAI 2021 - V4'!M42</f>
        <v>Oportunidad en la gestión de órdenes de pago</v>
      </c>
      <c r="P43" s="588" t="str">
        <f>+'PAI 2021 - V4'!N42</f>
        <v>1 Eficacia: (cumplimiento de metas)</v>
      </c>
      <c r="Q43" s="588" t="str">
        <f>+'PAI 2021 - V4'!O42</f>
        <v>Medir la eficiencia del proceso de pagos.</v>
      </c>
      <c r="R43" s="588" t="str">
        <f>+'PAI 2021 - V4'!P42</f>
        <v xml:space="preserve">∑ Ordenes de pago ≤ 4 días / Total Ordenes de Pago </v>
      </c>
      <c r="S43" s="515" t="s">
        <v>909</v>
      </c>
      <c r="T43" s="515" t="s">
        <v>904</v>
      </c>
      <c r="U43" s="588" t="str">
        <f>+'PAI 2021 - V4'!Q42</f>
        <v>Porcentaje (%).</v>
      </c>
      <c r="V43" s="588" t="str">
        <f>+'PAI 2021 - V4'!R41</f>
        <v>No aplica.</v>
      </c>
      <c r="W43" s="306" t="str">
        <f>+'PAI 2021 - V4'!S42</f>
        <v>≤4</v>
      </c>
      <c r="X43" s="588" t="str">
        <f>+'PAI 2021 - V4'!T42</f>
        <v>≤4</v>
      </c>
      <c r="Y43" s="588" t="str">
        <f>+'PAI 2021 - V4'!U42</f>
        <v>≤4</v>
      </c>
      <c r="Z43" s="588" t="str">
        <f>+'PAI 2021 - V4'!V42</f>
        <v>≤4</v>
      </c>
      <c r="AA43" s="401">
        <f>+'PAI 2021 - V4'!W41</f>
        <v>390698364</v>
      </c>
      <c r="AB43" s="401">
        <f>+'PAI 2021 - V4'!X41</f>
        <v>402419314.92000002</v>
      </c>
      <c r="AC43" s="401">
        <f>+'PAI 2021 - V4'!Y41</f>
        <v>414491894.36760002</v>
      </c>
      <c r="AD43" s="401">
        <f>+'PAI 2021 - V4'!Z41</f>
        <v>426926651.19862801</v>
      </c>
      <c r="AE43" s="588" t="str">
        <f>+'PAI 2021 - V4'!AA42</f>
        <v xml:space="preserve">2. Liquidar ordenes e pago y diligenciar matriz de control  </v>
      </c>
      <c r="AF43" s="588" t="str">
        <f>+'PAI 2021 - V4'!AB42</f>
        <v>Cumplimiento de las actividades de gestión, según su ponderación.</v>
      </c>
      <c r="AG43" s="588" t="str">
        <f>+'PAI 2021 - V4'!AC42</f>
        <v>1 Eficacia: (cumplimiento de metas)</v>
      </c>
      <c r="AH43" s="588" t="str">
        <f>+'PAI 2021 - V4'!AD42</f>
        <v>Porcentaje (%)</v>
      </c>
      <c r="AI43" s="588" t="str">
        <f>+'PAI 2021 - V4'!AE42</f>
        <v>Mensual.</v>
      </c>
      <c r="AJ43" s="588" t="str">
        <f>+'PAI 2021 - V4'!AF41</f>
        <v>El presupuesto distribuido corresponde con el valor global asignado al equipo de la Subdirección Financiera.</v>
      </c>
      <c r="AK43" s="306" t="str">
        <f>+'PAI 2021 - V4'!AG41</f>
        <v>Subdirector Financiero</v>
      </c>
      <c r="AL43" s="899" t="str">
        <f>+'PAI 2021 - V4'!AH42</f>
        <v>Subdirector Financiero</v>
      </c>
      <c r="AM43" s="926">
        <f>293/296</f>
        <v>0.98986486486486491</v>
      </c>
      <c r="AN43" s="603">
        <f>246/328</f>
        <v>0.75</v>
      </c>
      <c r="AO43" s="603">
        <f>353/397</f>
        <v>0.88916876574307302</v>
      </c>
      <c r="AP43" s="603">
        <f>319/425</f>
        <v>0.75058823529411767</v>
      </c>
      <c r="AQ43" s="603">
        <f>361/427</f>
        <v>0.84543325526932089</v>
      </c>
      <c r="AR43" s="603">
        <f>332/444</f>
        <v>0.74774774774774777</v>
      </c>
      <c r="AS43" s="603">
        <f>307/445</f>
        <v>0.68988764044943818</v>
      </c>
      <c r="AT43" s="603">
        <f>238/440</f>
        <v>0.54090909090909089</v>
      </c>
      <c r="AU43" s="603">
        <f>173/422</f>
        <v>0.4099526066350711</v>
      </c>
      <c r="AV43" s="603">
        <f>162/383</f>
        <v>0.42297650130548303</v>
      </c>
      <c r="AW43" s="603">
        <f>166/421</f>
        <v>0.39429928741092635</v>
      </c>
      <c r="AX43" s="927">
        <f>440/588</f>
        <v>0.74829931972789121</v>
      </c>
      <c r="AY43" s="366" t="str">
        <f t="shared" si="1"/>
        <v>5.8.2</v>
      </c>
      <c r="AZ43" s="388" t="s">
        <v>1264</v>
      </c>
      <c r="BA43" s="590" t="s">
        <v>1265</v>
      </c>
      <c r="BB43" s="590" t="s">
        <v>1448</v>
      </c>
      <c r="BC43" s="590" t="s">
        <v>1392</v>
      </c>
      <c r="BD43" s="886" t="s">
        <v>1489</v>
      </c>
      <c r="BE43" s="888" t="s">
        <v>1005</v>
      </c>
      <c r="BG43" s="435"/>
      <c r="BH43" s="435"/>
      <c r="BI43" s="435"/>
      <c r="BJ43" s="432"/>
    </row>
    <row r="44" spans="1:62" s="10" customFormat="1" ht="156.75" customHeight="1" x14ac:dyDescent="0.25">
      <c r="A44" s="12" t="str">
        <f>+'PAI 2021 - V4'!I43</f>
        <v>5.8.3</v>
      </c>
      <c r="B44" s="593" t="str">
        <f>+'PAI 2021 - V4'!A41</f>
        <v>8. Trabajo decente y crecimiento económico.
16. Paz, justicia e instituciones sólidas.</v>
      </c>
      <c r="C44" s="593" t="str">
        <f>+'PAI 2021 - V4'!B41</f>
        <v>Propósito 5
Logro de ciudad: 30</v>
      </c>
      <c r="D44" s="593" t="str">
        <f>+'PAI 2021 - V4'!C41</f>
        <v>Gestión presupuestal y eficiencia del gasto público.</v>
      </c>
      <c r="E44" s="593" t="str">
        <f>+'PAI 2021 - V4'!D41</f>
        <v>05 - Fortalecer la capacidad organizacional de Capital para ser una empresa transparente, eficiente y sostenible.</v>
      </c>
      <c r="F44" s="593" t="str">
        <f>+'PAI 2021 - V4'!E41</f>
        <v>5.8. Plan estratégico financiero como mecanismo para la  optimización y eficiencia de los recursos económicos.</v>
      </c>
      <c r="G44" s="593" t="str">
        <f>+'PAI 2021 - V4'!F41</f>
        <v>Lograr la optimización de los recursos anuales, alcanzando como mínimo un punto de equilibrio entre el ingreso y gasto</v>
      </c>
      <c r="H44" s="593" t="str">
        <f>+'PAI 2021 - V4'!G41</f>
        <v>Valor recaudado en ingresos / Gastos comprometidos</v>
      </c>
      <c r="I44" s="593" t="str">
        <f>+'PAI 2021 - V4'!H41</f>
        <v>2 Eficiencia: (uso de los recursos)</v>
      </c>
      <c r="J44" s="588" t="str">
        <f>+'PAI 2021 - V4'!I43</f>
        <v>5.8.3</v>
      </c>
      <c r="K44" s="588" t="str">
        <f>+'PAI 2021 - V4'!J41</f>
        <v>Finanzas para pensar</v>
      </c>
      <c r="L44" s="588" t="str">
        <f t="shared" si="0"/>
        <v>5.8.3 Finanzas para pensar</v>
      </c>
      <c r="M44" s="588" t="str">
        <f>+'PAI 2021 - V4'!K41</f>
        <v>1. Generar resultados con superávit.
2.  Eficiencia y oportunidad en el pago de cuentas.
3. Eficiencia y oportunidad en la presentación de información contable
4. Cumplimiento de los tiempos establecidos para la facturación</v>
      </c>
      <c r="N44" s="588" t="str">
        <f>+'PAI 2021 - V4'!L43</f>
        <v>Flujo de caja.</v>
      </c>
      <c r="O44" s="515" t="str">
        <f>+'PAI 2021 - V4'!M43</f>
        <v>Gestión mensual del flujo de caja</v>
      </c>
      <c r="P44" s="588" t="str">
        <f>+'PAI 2021 - V4'!N43</f>
        <v>1 Eficacia: (cumplimiento de metas)</v>
      </c>
      <c r="Q44" s="588" t="str">
        <f>+'PAI 2021 - V4'!O43</f>
        <v>Presentar la situación de liquidez de la empresa.</v>
      </c>
      <c r="R44" s="588" t="str">
        <f>+'PAI 2021 - V4'!P43</f>
        <v>Ingresos / Giros</v>
      </c>
      <c r="S44" s="515" t="s">
        <v>910</v>
      </c>
      <c r="T44" s="515" t="s">
        <v>911</v>
      </c>
      <c r="U44" s="588" t="str">
        <f>+'PAI 2021 - V4'!Q43</f>
        <v>Número (#).</v>
      </c>
      <c r="V44" s="588" t="str">
        <f>+'PAI 2021 - V4'!R41</f>
        <v>No aplica.</v>
      </c>
      <c r="W44" s="306" t="str">
        <f>+'PAI 2021 - V4'!S43</f>
        <v>≥ 1</v>
      </c>
      <c r="X44" s="588" t="str">
        <f>+'PAI 2021 - V4'!T43</f>
        <v>≥ 1</v>
      </c>
      <c r="Y44" s="588" t="str">
        <f>+'PAI 2021 - V4'!U43</f>
        <v>≥ 1</v>
      </c>
      <c r="Z44" s="588" t="str">
        <f>+'PAI 2021 - V4'!V43</f>
        <v>≥ 1</v>
      </c>
      <c r="AA44" s="401">
        <f>+'PAI 2021 - V4'!W41</f>
        <v>390698364</v>
      </c>
      <c r="AB44" s="401">
        <f>+'PAI 2021 - V4'!X41</f>
        <v>402419314.92000002</v>
      </c>
      <c r="AC44" s="401">
        <f>+'PAI 2021 - V4'!Y41</f>
        <v>414491894.36760002</v>
      </c>
      <c r="AD44" s="401">
        <f>+'PAI 2021 - V4'!Z41</f>
        <v>426926651.19862801</v>
      </c>
      <c r="AE44" s="588" t="str">
        <f>+'PAI 2021 - V4'!AA43</f>
        <v xml:space="preserve">3. Elaborar los flujos de caja mensuales          </v>
      </c>
      <c r="AF44" s="588" t="str">
        <f>+'PAI 2021 - V4'!AB43</f>
        <v>Cumplimiento de las actividades de gestión, según su ponderación.</v>
      </c>
      <c r="AG44" s="588" t="str">
        <f>+'PAI 2021 - V4'!AC43</f>
        <v>1 Eficacia: (cumplimiento de metas)</v>
      </c>
      <c r="AH44" s="588" t="str">
        <f>+'PAI 2021 - V4'!AD43</f>
        <v>Número (#)</v>
      </c>
      <c r="AI44" s="588" t="str">
        <f>+'PAI 2021 - V4'!AE43</f>
        <v>Mensual.</v>
      </c>
      <c r="AJ44" s="588" t="str">
        <f>+'PAI 2021 - V4'!AF41</f>
        <v>El presupuesto distribuido corresponde con el valor global asignado al equipo de la Subdirección Financiera.</v>
      </c>
      <c r="AK44" s="306" t="str">
        <f>+'PAI 2021 - V4'!AG41</f>
        <v>Subdirector Financiero</v>
      </c>
      <c r="AL44" s="899" t="str">
        <f>+'PAI 2021 - V4'!AH43</f>
        <v>Profesional de Tesorería</v>
      </c>
      <c r="AM44" s="928">
        <f>12483077918/2336367439</f>
        <v>5.3429429419470695</v>
      </c>
      <c r="AN44" s="409">
        <f>10611592832/2283986380</f>
        <v>4.6460841119376557</v>
      </c>
      <c r="AO44" s="409">
        <f>8623564072/3572512758</f>
        <v>2.4138651577070167</v>
      </c>
      <c r="AP44" s="409">
        <f>8215963708.02/2806364390</f>
        <v>2.9276182869538196</v>
      </c>
      <c r="AQ44" s="409">
        <f>6947207646.83/2732876005</f>
        <v>2.5420866640563151</v>
      </c>
      <c r="AR44" s="409">
        <f>4964135068.83/2954903406</f>
        <v>1.6799652600319213</v>
      </c>
      <c r="AS44" s="409">
        <f>6072820193/2445739820</f>
        <v>2.4830197158911202</v>
      </c>
      <c r="AT44" s="409">
        <f>7646369074/1443938000</f>
        <v>5.2954968108048961</v>
      </c>
      <c r="AU44" s="409">
        <f>6545966998.37/1943280000</f>
        <v>3.3685145724599646</v>
      </c>
      <c r="AV44" s="409">
        <f>7912495550.1/1631968948</f>
        <v>4.8484351125656344</v>
      </c>
      <c r="AW44" s="409">
        <f>6890896131.1/1812936896</f>
        <v>3.8009575216345537</v>
      </c>
      <c r="AX44" s="929">
        <f>10497001740.27/3573506608</f>
        <v>2.9374513305139525</v>
      </c>
      <c r="AY44" s="366" t="str">
        <f t="shared" si="1"/>
        <v>5.8.3</v>
      </c>
      <c r="AZ44" s="388" t="s">
        <v>1001</v>
      </c>
      <c r="BA44" s="590" t="s">
        <v>1266</v>
      </c>
      <c r="BB44" s="516" t="s">
        <v>1463</v>
      </c>
      <c r="BC44" s="516" t="s">
        <v>1449</v>
      </c>
      <c r="BD44" s="886" t="s">
        <v>1490</v>
      </c>
      <c r="BE44" s="888" t="s">
        <v>1006</v>
      </c>
      <c r="BG44" s="435" t="s">
        <v>1064</v>
      </c>
      <c r="BH44" s="435" t="s">
        <v>1063</v>
      </c>
      <c r="BI44" s="435" t="s">
        <v>1057</v>
      </c>
      <c r="BJ44" s="432" t="s">
        <v>1023</v>
      </c>
    </row>
    <row r="45" spans="1:62" s="10" customFormat="1" ht="213" customHeight="1" x14ac:dyDescent="0.25">
      <c r="A45" s="12" t="str">
        <f>+'PAI 2021 - V4'!I44</f>
        <v>5.8.4</v>
      </c>
      <c r="B45" s="593" t="str">
        <f>+'PAI 2021 - V4'!A41</f>
        <v>8. Trabajo decente y crecimiento económico.
16. Paz, justicia e instituciones sólidas.</v>
      </c>
      <c r="C45" s="593" t="str">
        <f>+'PAI 2021 - V4'!B41</f>
        <v>Propósito 5
Logro de ciudad: 30</v>
      </c>
      <c r="D45" s="593" t="str">
        <f>+'PAI 2021 - V4'!C41</f>
        <v>Gestión presupuestal y eficiencia del gasto público.</v>
      </c>
      <c r="E45" s="593" t="str">
        <f>+'PAI 2021 - V4'!D41</f>
        <v>05 - Fortalecer la capacidad organizacional de Capital para ser una empresa transparente, eficiente y sostenible.</v>
      </c>
      <c r="F45" s="593" t="str">
        <f>+'PAI 2021 - V4'!E41</f>
        <v>5.8. Plan estratégico financiero como mecanismo para la  optimización y eficiencia de los recursos económicos.</v>
      </c>
      <c r="G45" s="593" t="str">
        <f>+'PAI 2021 - V4'!F41</f>
        <v>Lograr la optimización de los recursos anuales, alcanzando como mínimo un punto de equilibrio entre el ingreso y gasto</v>
      </c>
      <c r="H45" s="593" t="str">
        <f>+'PAI 2021 - V4'!G41</f>
        <v>Valor recaudado en ingresos / Gastos comprometidos</v>
      </c>
      <c r="I45" s="593" t="str">
        <f>+'PAI 2021 - V4'!H41</f>
        <v>2 Eficiencia: (uso de los recursos)</v>
      </c>
      <c r="J45" s="588" t="str">
        <f>+'PAI 2021 - V4'!I44</f>
        <v>5.8.4</v>
      </c>
      <c r="K45" s="588" t="str">
        <f>+'PAI 2021 - V4'!J41</f>
        <v>Finanzas para pensar</v>
      </c>
      <c r="L45" s="588" t="str">
        <f t="shared" si="0"/>
        <v>5.8.4 Finanzas para pensar</v>
      </c>
      <c r="M45" s="588" t="str">
        <f>+'PAI 2021 - V4'!K41</f>
        <v>1. Generar resultados con superávit.
2.  Eficiencia y oportunidad en el pago de cuentas.
3. Eficiencia y oportunidad en la presentación de información contable
4. Cumplimiento de los tiempos establecidos para la facturación</v>
      </c>
      <c r="N45" s="588" t="str">
        <f>+'PAI 2021 - V4'!L44</f>
        <v>Estados Contables mensuales</v>
      </c>
      <c r="O45" s="515" t="str">
        <f>+'PAI 2021 - V4'!M44</f>
        <v>Gestión mensual contable - Estados contables</v>
      </c>
      <c r="P45" s="588" t="str">
        <f>+'PAI 2021 - V4'!N44</f>
        <v>2 Eficiencia: (uso de los recursos)</v>
      </c>
      <c r="Q45" s="588" t="str">
        <f>+'PAI 2021 - V4'!O44</f>
        <v>Presentar la situación financiera de la empresa en el periodo correspondiente.</v>
      </c>
      <c r="R45" s="588" t="str">
        <f>+'PAI 2021 - V4'!P44</f>
        <v>Ingresos - Costos y/o Gastos</v>
      </c>
      <c r="S45" s="515" t="s">
        <v>910</v>
      </c>
      <c r="T45" s="515" t="s">
        <v>913</v>
      </c>
      <c r="U45" s="588" t="str">
        <f>+'PAI 2021 - V4'!Q44</f>
        <v>Número (#).</v>
      </c>
      <c r="V45" s="588" t="str">
        <f>+'PAI 2021 - V4'!R41</f>
        <v>No aplica.</v>
      </c>
      <c r="W45" s="306" t="str">
        <f>+'PAI 2021 - V4'!S44</f>
        <v>≥ 0</v>
      </c>
      <c r="X45" s="588" t="str">
        <f>+'PAI 2021 - V4'!T44</f>
        <v>≥ 0</v>
      </c>
      <c r="Y45" s="588" t="str">
        <f>+'PAI 2021 - V4'!U44</f>
        <v>≥ 0</v>
      </c>
      <c r="Z45" s="588" t="str">
        <f>+'PAI 2021 - V4'!V44</f>
        <v>≥ 0</v>
      </c>
      <c r="AA45" s="401">
        <f>+'PAI 2021 - V4'!W41</f>
        <v>390698364</v>
      </c>
      <c r="AB45" s="401">
        <f>+'PAI 2021 - V4'!X41</f>
        <v>402419314.92000002</v>
      </c>
      <c r="AC45" s="401">
        <f>+'PAI 2021 - V4'!Y41</f>
        <v>414491894.36760002</v>
      </c>
      <c r="AD45" s="401">
        <f>+'PAI 2021 - V4'!Z41</f>
        <v>426926651.19862801</v>
      </c>
      <c r="AE45" s="588" t="str">
        <f>+'PAI 2021 - V4'!AA44</f>
        <v xml:space="preserve">4. Elaborar los estados contables mensuales                     </v>
      </c>
      <c r="AF45" s="588" t="str">
        <f>+'PAI 2021 - V4'!AB44</f>
        <v>Cumplimiento de las actividades de gestión, según su ponderación.</v>
      </c>
      <c r="AG45" s="588" t="str">
        <f>+'PAI 2021 - V4'!AC44</f>
        <v>2 Eficiencia: (uso de los recursos)</v>
      </c>
      <c r="AH45" s="588" t="str">
        <f>+'PAI 2021 - V4'!AD44</f>
        <v>Número (#)</v>
      </c>
      <c r="AI45" s="588" t="str">
        <f>+'PAI 2021 - V4'!AE44</f>
        <v>Mensual.</v>
      </c>
      <c r="AJ45" s="588" t="str">
        <f>+'PAI 2021 - V4'!AF41</f>
        <v>El presupuesto distribuido corresponde con el valor global asignado al equipo de la Subdirección Financiera.</v>
      </c>
      <c r="AK45" s="306" t="str">
        <f>+'PAI 2021 - V4'!AG41</f>
        <v>Subdirector Financiero</v>
      </c>
      <c r="AL45" s="899" t="str">
        <f>+'PAI 2021 - V4'!AH44</f>
        <v>Profesional de Contabilidad</v>
      </c>
      <c r="AM45" s="930">
        <f>2421730303.8-1591152214.74</f>
        <v>830578089.06000018</v>
      </c>
      <c r="AN45" s="508">
        <f>2739743603.2-3441413690.8</f>
        <v>-701670087.60000038</v>
      </c>
      <c r="AO45" s="508">
        <f>3135908767.11-5818270949.9</f>
        <v>-2682362182.7899995</v>
      </c>
      <c r="AP45" s="508">
        <f>7133539144.32-8909996613.05</f>
        <v>-1776457468.7299995</v>
      </c>
      <c r="AQ45" s="508">
        <f>7983128102.09-11870017801.98</f>
        <v>-3886889699.8899994</v>
      </c>
      <c r="AR45" s="508">
        <f>9398218479.89-15477765430.7</f>
        <v>-6079546950.8100014</v>
      </c>
      <c r="AS45" s="508">
        <f>13966093188.36-18374312606.73</f>
        <v>-4408219418.3699989</v>
      </c>
      <c r="AT45" s="508">
        <f>18062008028.75-21142886462.15</f>
        <v>-3080878433.4000015</v>
      </c>
      <c r="AU45" s="508">
        <f>19556004528.42-24190653691.94</f>
        <v>-4634649163.5200005</v>
      </c>
      <c r="AV45" s="508">
        <f>23306068593.31-26945738333.17</f>
        <v>-3639669739.8599968</v>
      </c>
      <c r="AW45" s="508">
        <f>24498659079.77-29580246315.52</f>
        <v>-5081587235.75</v>
      </c>
      <c r="AX45" s="931">
        <f>31509692403.87-33479001291.88</f>
        <v>-1969308888.0100021</v>
      </c>
      <c r="AY45" s="366" t="str">
        <f t="shared" si="1"/>
        <v>5.8.4</v>
      </c>
      <c r="AZ45" s="388" t="s">
        <v>1281</v>
      </c>
      <c r="BA45" s="590" t="s">
        <v>1450</v>
      </c>
      <c r="BB45" s="590" t="s">
        <v>1451</v>
      </c>
      <c r="BC45" s="590" t="s">
        <v>1393</v>
      </c>
      <c r="BD45" s="886" t="s">
        <v>1491</v>
      </c>
      <c r="BE45" s="888" t="s">
        <v>1312</v>
      </c>
      <c r="BG45" s="435"/>
      <c r="BH45" s="407"/>
      <c r="BI45" s="435"/>
      <c r="BJ45" s="432"/>
    </row>
    <row r="46" spans="1:62" s="10" customFormat="1" ht="157.5" customHeight="1" x14ac:dyDescent="0.25">
      <c r="A46" s="12" t="str">
        <f>+'PAI 2021 - V4'!I45</f>
        <v>5.8.5</v>
      </c>
      <c r="B46" s="593" t="str">
        <f>+'PAI 2021 - V4'!A41</f>
        <v>8. Trabajo decente y crecimiento económico.
16. Paz, justicia e instituciones sólidas.</v>
      </c>
      <c r="C46" s="593" t="str">
        <f>+'PAI 2021 - V4'!B41</f>
        <v>Propósito 5
Logro de ciudad: 30</v>
      </c>
      <c r="D46" s="593" t="str">
        <f>+'PAI 2021 - V4'!C41</f>
        <v>Gestión presupuestal y eficiencia del gasto público.</v>
      </c>
      <c r="E46" s="593" t="str">
        <f>+'PAI 2021 - V4'!D41</f>
        <v>05 - Fortalecer la capacidad organizacional de Capital para ser una empresa transparente, eficiente y sostenible.</v>
      </c>
      <c r="F46" s="593" t="str">
        <f>+'PAI 2021 - V4'!E41</f>
        <v>5.8. Plan estratégico financiero como mecanismo para la  optimización y eficiencia de los recursos económicos.</v>
      </c>
      <c r="G46" s="593" t="str">
        <f>+'PAI 2021 - V4'!F41</f>
        <v>Lograr la optimización de los recursos anuales, alcanzando como mínimo un punto de equilibrio entre el ingreso y gasto</v>
      </c>
      <c r="H46" s="593" t="str">
        <f>+'PAI 2021 - V4'!G41</f>
        <v>Valor recaudado en ingresos / Gastos comprometidos</v>
      </c>
      <c r="I46" s="593" t="str">
        <f>+'PAI 2021 - V4'!H41</f>
        <v>2 Eficiencia: (uso de los recursos)</v>
      </c>
      <c r="J46" s="588" t="str">
        <f>+'PAI 2021 - V4'!I45</f>
        <v>5.8.5</v>
      </c>
      <c r="K46" s="588" t="str">
        <f>+'PAI 2021 - V4'!J41</f>
        <v>Finanzas para pensar</v>
      </c>
      <c r="L46" s="588" t="str">
        <f t="shared" si="0"/>
        <v>5.8.5 Finanzas para pensar</v>
      </c>
      <c r="M46" s="588" t="str">
        <f>+'PAI 2021 - V4'!K41</f>
        <v>1. Generar resultados con superávit.
2.  Eficiencia y oportunidad en el pago de cuentas.
3. Eficiencia y oportunidad en la presentación de información contable
4. Cumplimiento de los tiempos establecidos para la facturación</v>
      </c>
      <c r="N46" s="588" t="str">
        <f>+'PAI 2021 - V4'!L45</f>
        <v>Informe de cartera y soporte de envío de facturas.</v>
      </c>
      <c r="O46" s="515" t="str">
        <f>+'PAI 2021 - V4'!M45</f>
        <v>Gestión de la cartera.</v>
      </c>
      <c r="P46" s="588" t="str">
        <f>+'PAI 2021 - V4'!N45</f>
        <v>1 Eficacia: (cumplimiento de metas)</v>
      </c>
      <c r="Q46" s="588" t="str">
        <f>+'PAI 2021 - V4'!O45</f>
        <v>Identificar las edades de cartera y oportunidad de recaudo de los diferentes clientes de la empresa.</v>
      </c>
      <c r="R46" s="588" t="str">
        <f>+'PAI 2021 - V4'!P45</f>
        <v>Total Recaudo / Total servicios cobrados al cierre del trimestre acumulado * 100</v>
      </c>
      <c r="S46" s="588" t="s">
        <v>912</v>
      </c>
      <c r="T46" s="588" t="s">
        <v>914</v>
      </c>
      <c r="U46" s="588" t="str">
        <f>+'PAI 2021 - V4'!Q45</f>
        <v>Porcentaje (%).</v>
      </c>
      <c r="V46" s="588" t="str">
        <f>+'PAI 2021 - V4'!R41</f>
        <v>No aplica.</v>
      </c>
      <c r="W46" s="442">
        <f>+'PAI 2021 - V4'!S45</f>
        <v>0.7</v>
      </c>
      <c r="X46" s="400">
        <f>+'PAI 2021 - V4'!T45</f>
        <v>0.7</v>
      </c>
      <c r="Y46" s="400">
        <f>+'PAI 2021 - V4'!U45</f>
        <v>0.7</v>
      </c>
      <c r="Z46" s="400">
        <f>+'PAI 2021 - V4'!V45</f>
        <v>0.7</v>
      </c>
      <c r="AA46" s="401">
        <f>+'PAI 2021 - V4'!W41</f>
        <v>390698364</v>
      </c>
      <c r="AB46" s="401">
        <f>+'PAI 2021 - V4'!X41</f>
        <v>402419314.92000002</v>
      </c>
      <c r="AC46" s="401">
        <f>+'PAI 2021 - V4'!Y41</f>
        <v>414491894.36760002</v>
      </c>
      <c r="AD46" s="401">
        <f>+'PAI 2021 - V4'!Z41</f>
        <v>426926651.19862801</v>
      </c>
      <c r="AE46" s="588" t="str">
        <f>+'PAI 2021 - V4'!AA45</f>
        <v>5. Elaborar informe de cartera.</v>
      </c>
      <c r="AF46" s="588" t="str">
        <f>+'PAI 2021 - V4'!AB45</f>
        <v>Cumplimiento de las actividades de gestión, según su ponderación.</v>
      </c>
      <c r="AG46" s="588" t="str">
        <f>+'PAI 2021 - V4'!AC45</f>
        <v>2 Eficiencia: (uso de los recursos)</v>
      </c>
      <c r="AH46" s="588" t="str">
        <f>+'PAI 2021 - V4'!AD45</f>
        <v>Porcentaje (%)</v>
      </c>
      <c r="AI46" s="588" t="str">
        <f>+'PAI 2021 - V4'!AE45</f>
        <v>Trimestral.</v>
      </c>
      <c r="AJ46" s="588" t="str">
        <f>+'PAI 2021 - V4'!AF41</f>
        <v>El presupuesto distribuido corresponde con el valor global asignado al equipo de la Subdirección Financiera.</v>
      </c>
      <c r="AK46" s="306" t="str">
        <f>+'PAI 2021 - V4'!AG41</f>
        <v>Subdirector Financiero</v>
      </c>
      <c r="AL46" s="899" t="str">
        <f>+'PAI 2021 - V4'!AH45</f>
        <v>Profesional de Facturación</v>
      </c>
      <c r="AM46" s="932">
        <f>739131012/858469750</f>
        <v>0.86098667075922009</v>
      </c>
      <c r="AN46" s="718"/>
      <c r="AO46" s="718"/>
      <c r="AP46" s="718">
        <f>2618032131/2668223670</f>
        <v>0.98118915608000734</v>
      </c>
      <c r="AQ46" s="718"/>
      <c r="AR46" s="718"/>
      <c r="AS46" s="718">
        <f>1251275047/1450757252</f>
        <v>0.86249787500631425</v>
      </c>
      <c r="AT46" s="718"/>
      <c r="AU46" s="718"/>
      <c r="AV46" s="718">
        <f>2889546628/3560358313.47</f>
        <v>0.81158871484027328</v>
      </c>
      <c r="AW46" s="718"/>
      <c r="AX46" s="933"/>
      <c r="AY46" s="366" t="str">
        <f t="shared" si="1"/>
        <v>5.8.5</v>
      </c>
      <c r="AZ46" s="388" t="s">
        <v>1267</v>
      </c>
      <c r="BA46" s="590" t="s">
        <v>1268</v>
      </c>
      <c r="BB46" s="590" t="s">
        <v>1452</v>
      </c>
      <c r="BC46" s="590" t="s">
        <v>1453</v>
      </c>
      <c r="BD46" s="886" t="s">
        <v>1492</v>
      </c>
      <c r="BE46" s="888" t="s">
        <v>1005</v>
      </c>
      <c r="BG46" s="432"/>
      <c r="BH46" s="435"/>
      <c r="BI46" s="435"/>
      <c r="BJ46" s="432"/>
    </row>
    <row r="47" spans="1:62" s="10" customFormat="1" ht="131.25" customHeight="1" x14ac:dyDescent="0.25">
      <c r="A47" s="12" t="str">
        <f>+'PAI 2021 - V4'!I46</f>
        <v>5.8.6</v>
      </c>
      <c r="B47" s="593" t="str">
        <f>+'PAI 2021 - V4'!A41</f>
        <v>8. Trabajo decente y crecimiento económico.
16. Paz, justicia e instituciones sólidas.</v>
      </c>
      <c r="C47" s="593" t="str">
        <f>+'PAI 2021 - V4'!B41</f>
        <v>Propósito 5
Logro de ciudad: 30</v>
      </c>
      <c r="D47" s="593" t="str">
        <f>+'PAI 2021 - V4'!C41</f>
        <v>Gestión presupuestal y eficiencia del gasto público.</v>
      </c>
      <c r="E47" s="593" t="str">
        <f>+'PAI 2021 - V4'!D41</f>
        <v>05 - Fortalecer la capacidad organizacional de Capital para ser una empresa transparente, eficiente y sostenible.</v>
      </c>
      <c r="F47" s="593" t="str">
        <f>+'PAI 2021 - V4'!E41</f>
        <v>5.8. Plan estratégico financiero como mecanismo para la  optimización y eficiencia de los recursos económicos.</v>
      </c>
      <c r="G47" s="593" t="str">
        <f>+'PAI 2021 - V4'!F41</f>
        <v>Lograr la optimización de los recursos anuales, alcanzando como mínimo un punto de equilibrio entre el ingreso y gasto</v>
      </c>
      <c r="H47" s="593" t="str">
        <f>+'PAI 2021 - V4'!G41</f>
        <v>Valor recaudado en ingresos / Gastos comprometidos</v>
      </c>
      <c r="I47" s="593" t="str">
        <f>+'PAI 2021 - V4'!H41</f>
        <v>2 Eficiencia: (uso de los recursos)</v>
      </c>
      <c r="J47" s="588" t="str">
        <f>+'PAI 2021 - V4'!I46</f>
        <v>5.8.6</v>
      </c>
      <c r="K47" s="588" t="str">
        <f>+'PAI 2021 - V4'!J41</f>
        <v>Finanzas para pensar</v>
      </c>
      <c r="L47" s="588" t="str">
        <f t="shared" si="0"/>
        <v>5.8.6 Finanzas para pensar</v>
      </c>
      <c r="M47" s="588" t="str">
        <f>+'PAI 2021 - V4'!K41</f>
        <v>1. Generar resultados con superávit.
2.  Eficiencia y oportunidad en el pago de cuentas.
3. Eficiencia y oportunidad en la presentación de información contable
4. Cumplimiento de los tiempos establecidos para la facturación</v>
      </c>
      <c r="N47" s="588" t="str">
        <f>+'PAI 2021 - V4'!L46</f>
        <v>Piezas comunicativas sobre los diferentes productos que genera la subdirección financiera (Estados financieros, tips de facturación, estado de ingresos y gastos)</v>
      </c>
      <c r="O47" s="515" t="str">
        <f>+'PAI 2021 - V4'!M46</f>
        <v>Gestión de las comunicaciones internas de la subdirección financiera</v>
      </c>
      <c r="P47" s="588" t="str">
        <f>+'PAI 2021 - V4'!N46</f>
        <v>1 Eficacia: (cumplimiento de metas)</v>
      </c>
      <c r="Q47" s="588" t="str">
        <f>+'PAI 2021 - V4'!O46</f>
        <v xml:space="preserve">Dar a conocer al interior de la entidad información relevante de los procesos y la gestión financiera. </v>
      </c>
      <c r="R47" s="588" t="str">
        <f>+'PAI 2021 - V4'!P46</f>
        <v>Numero de piezas comunicativas realizadas / Numero de piezas comunicativas programadas para la vigencia (4)</v>
      </c>
      <c r="S47" s="588" t="s">
        <v>908</v>
      </c>
      <c r="T47" s="588" t="s">
        <v>915</v>
      </c>
      <c r="U47" s="588" t="str">
        <f>+'PAI 2021 - V4'!Q46</f>
        <v>Número (#).</v>
      </c>
      <c r="V47" s="588" t="str">
        <f>+'PAI 2021 - V4'!R41</f>
        <v>No aplica.</v>
      </c>
      <c r="W47" s="306">
        <f>+'PAI 2021 - V4'!S46</f>
        <v>4</v>
      </c>
      <c r="X47" s="588">
        <f>+'PAI 2021 - V4'!T46</f>
        <v>8</v>
      </c>
      <c r="Y47" s="588">
        <f>+'PAI 2021 - V4'!U46</f>
        <v>8</v>
      </c>
      <c r="Z47" s="588">
        <f>+'PAI 2021 - V4'!V46</f>
        <v>8</v>
      </c>
      <c r="AA47" s="401">
        <f>+'PAI 2021 - V4'!W41</f>
        <v>390698364</v>
      </c>
      <c r="AB47" s="401">
        <f>+'PAI 2021 - V4'!X41</f>
        <v>402419314.92000002</v>
      </c>
      <c r="AC47" s="401">
        <f>+'PAI 2021 - V4'!Y41</f>
        <v>414491894.36760002</v>
      </c>
      <c r="AD47" s="401">
        <f>+'PAI 2021 - V4'!Z41</f>
        <v>426926651.19862801</v>
      </c>
      <c r="AE47" s="588" t="str">
        <f>+'PAI 2021 - V4'!AA46</f>
        <v xml:space="preserve">6. Suministrar insumo para piezas comunicativas          </v>
      </c>
      <c r="AF47" s="588" t="str">
        <f>+'PAI 2021 - V4'!AB46</f>
        <v>Cumplimiento de las actividades de gestión, según su ponderación.</v>
      </c>
      <c r="AG47" s="588" t="str">
        <f>+'PAI 2021 - V4'!AC46</f>
        <v>2 Eficiencia: (uso de los recursos)</v>
      </c>
      <c r="AH47" s="588" t="str">
        <f>+'PAI 2021 - V4'!AD46</f>
        <v>Número (#)</v>
      </c>
      <c r="AI47" s="588" t="str">
        <f>+'PAI 2021 - V4'!AE46</f>
        <v>Trimestral.</v>
      </c>
      <c r="AJ47" s="588" t="str">
        <f>+'PAI 2021 - V4'!AF41</f>
        <v>El presupuesto distribuido corresponde con el valor global asignado al equipo de la Subdirección Financiera.</v>
      </c>
      <c r="AK47" s="306" t="str">
        <f>+'PAI 2021 - V4'!AG41</f>
        <v>Subdirector Financiero</v>
      </c>
      <c r="AL47" s="899" t="str">
        <f>+'PAI 2021 - V4'!AH46</f>
        <v>Subdirector Financiero</v>
      </c>
      <c r="AM47" s="932">
        <f>1/1</f>
        <v>1</v>
      </c>
      <c r="AN47" s="718"/>
      <c r="AO47" s="718"/>
      <c r="AP47" s="718">
        <f>1/1</f>
        <v>1</v>
      </c>
      <c r="AQ47" s="718"/>
      <c r="AR47" s="718"/>
      <c r="AS47" s="718">
        <f>1/1</f>
        <v>1</v>
      </c>
      <c r="AT47" s="718"/>
      <c r="AU47" s="718"/>
      <c r="AV47" s="718">
        <f>2/1</f>
        <v>2</v>
      </c>
      <c r="AW47" s="718"/>
      <c r="AX47" s="933"/>
      <c r="AY47" s="366" t="str">
        <f t="shared" si="1"/>
        <v>5.8.6</v>
      </c>
      <c r="AZ47" s="388" t="s">
        <v>1269</v>
      </c>
      <c r="BA47" s="516" t="s">
        <v>1282</v>
      </c>
      <c r="BB47" s="516" t="s">
        <v>1313</v>
      </c>
      <c r="BC47" s="516" t="s">
        <v>1454</v>
      </c>
      <c r="BD47" s="886" t="s">
        <v>1493</v>
      </c>
      <c r="BE47" s="888" t="s">
        <v>1006</v>
      </c>
      <c r="BG47" s="435"/>
      <c r="BH47" s="435"/>
      <c r="BI47" s="435"/>
      <c r="BJ47" s="432"/>
    </row>
    <row r="48" spans="1:62" s="379" customFormat="1" ht="236.25" customHeight="1" x14ac:dyDescent="0.2">
      <c r="A48" s="12" t="str">
        <f>+'PAI 2021 - V4'!I47</f>
        <v>5.9.1</v>
      </c>
      <c r="B48" s="593" t="str">
        <f>+'PAI 2021 - V4'!A47</f>
        <v>11. Ciudades y comunidades sostenibles.
17. Alianzas para lograr los objetivos.</v>
      </c>
      <c r="C48" s="593" t="str">
        <f>+'PAI 2021 - V4'!B47</f>
        <v>Propósito 5
Logro de ciudad: 27 - 30</v>
      </c>
      <c r="D48" s="593" t="str">
        <f>+'PAI 2021 - V4'!C47</f>
        <v>Fortalecimiento organizacional y simplificación de procesos.
Racionalización de trámites.</v>
      </c>
      <c r="E48" s="593" t="str">
        <f>+'PAI 2021 - V4'!D47</f>
        <v>05 - Fortalecer la capacidad organizacional de Capital para ser una empresa transparente, eficiente y sostenible.</v>
      </c>
      <c r="F48" s="593" t="str">
        <f>+'PAI 2021 - V4'!E47</f>
        <v>5.9. Sistematización de los procesos institucionales (contractual y financiero)</v>
      </c>
      <c r="G48" s="593" t="str">
        <f>+'PAI 2021 - V4'!F47</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48" s="593" t="str">
        <f>+'PAI 2021 - V4'!G47</f>
        <v>1 software de gestión implementado</v>
      </c>
      <c r="I48" s="593" t="str">
        <f>+'PAI 2021 - V4'!H47</f>
        <v>1 Eficacia: (cumplimiento de metas)</v>
      </c>
      <c r="J48" s="588" t="str">
        <f>+'PAI 2021 - V4'!I47</f>
        <v>5.9.1</v>
      </c>
      <c r="K48" s="588" t="str">
        <f>+'PAI 2021 - V4'!J47</f>
        <v>Implementación de las fases 1 y 2 del componente contractual en el software de gestión.</v>
      </c>
      <c r="L48" s="588" t="str">
        <f t="shared" si="0"/>
        <v>5.9.1 Implementación de las fases 1 y 2 del componente contractual en el software de gestión.</v>
      </c>
      <c r="M48" s="588" t="str">
        <f>+'PAI 2021 - V4'!K47</f>
        <v>Implementar el componente contractual para uso interno de la Coordinación Jurídica para reparto y seguimiento a los abogados en el software de gestión.</v>
      </c>
      <c r="N48" s="588" t="str">
        <f>+'PAI 2021 - V4'!L47</f>
        <v>Componente contractual implementado en fase 1 y 2 del software de gestión.</v>
      </c>
      <c r="O48" s="515" t="str">
        <f>+'PAI 2021 - V4'!M47</f>
        <v>Creación e implementación de un módulo de gestión contractual en el software de gestión de Canal Capital.</v>
      </c>
      <c r="P48" s="515" t="str">
        <f>+'PAI 2021 - V4'!N47</f>
        <v>1 Eficacia: (cumplimiento de metas)</v>
      </c>
      <c r="Q48" s="515" t="str">
        <f>+'PAI 2021 - V4'!O47</f>
        <v>Implementar el componente contractual del software de gestión en la primera y segunda fases de desarrollo, a fin de iniciar con el reparto y control de contratos asignados a los abogados de la Coordinación Jurídica.</v>
      </c>
      <c r="R48" s="515" t="str">
        <f>+'PAI 2021 - V4'!P47</f>
        <v>Porcentaje de avance en las actividades de gestión para la implementación del componente contractual / Porcentaje de avance programado para la vigencia.</v>
      </c>
      <c r="S48" s="590" t="s">
        <v>1107</v>
      </c>
      <c r="T48" s="590" t="s">
        <v>916</v>
      </c>
      <c r="U48" s="588" t="str">
        <f>+'PAI 2021 - V4'!Q47</f>
        <v>Porcentaje (%).</v>
      </c>
      <c r="V48" s="588" t="str">
        <f>+'PAI 2021 - V4'!R47</f>
        <v>No aplica.</v>
      </c>
      <c r="W48" s="306">
        <f>+'PAI 2021 - V4'!S47</f>
        <v>1</v>
      </c>
      <c r="X48" s="588" t="str">
        <f>+'PAI 2021 - V4'!T47</f>
        <v>-</v>
      </c>
      <c r="Y48" s="588" t="str">
        <f>+'PAI 2021 - V4'!U47</f>
        <v>-</v>
      </c>
      <c r="Z48" s="588" t="str">
        <f>+'PAI 2021 - V4'!V47</f>
        <v>-</v>
      </c>
      <c r="AA48" s="401">
        <f>+'PAI 2021 - V4'!W47</f>
        <v>0</v>
      </c>
      <c r="AB48" s="401">
        <f>+'PAI 2021 - V4'!X47</f>
        <v>0</v>
      </c>
      <c r="AC48" s="401">
        <f>+'PAI 2021 - V4'!Y47</f>
        <v>0</v>
      </c>
      <c r="AD48" s="401">
        <f>+'PAI 2021 - V4'!Z47</f>
        <v>0</v>
      </c>
      <c r="AE48" s="588" t="str">
        <f>+'PAI 2021 - V4'!AA47</f>
        <v>1. Fase 1: solicitud de la secretaria general al profesional universitario de Sistemas de desarrollo de un software de seguimiento a la gestión contractual (20%)
2. Fase 1: desarrollo del componente contractual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v>
      </c>
      <c r="AF48" s="588" t="str">
        <f>+'PAI 2021 - V4'!AB47</f>
        <v>Cumplimiento de las actividades de gestión, según su ponderación.</v>
      </c>
      <c r="AG48" s="588" t="str">
        <f>+'PAI 2021 - V4'!AC47</f>
        <v>2 Eficiencia: (uso de los recursos)</v>
      </c>
      <c r="AH48" s="588" t="str">
        <f>+'PAI 2021 - V4'!AD47</f>
        <v>Porcentaje (%)</v>
      </c>
      <c r="AI48" s="588" t="str">
        <f>+'PAI 2021 - V4'!AE47</f>
        <v>Trimestral.</v>
      </c>
      <c r="AJ48" s="588" t="str">
        <f>+'PAI 2021 - V4'!AF47</f>
        <v>Como quiera que el desarrollo del software es producto del trabajo conjunto de la secretaria general y el profesional universitario de Sistemas, la entidad no contempla erogación alguna para el mismo.</v>
      </c>
      <c r="AK48" s="306" t="str">
        <f>+'PAI 2021 - V4'!AG47</f>
        <v>Secretaria General</v>
      </c>
      <c r="AL48" s="899" t="str">
        <f>+'PAI 2021 - V4'!AH47</f>
        <v>Asesor(es) jurídico(s)</v>
      </c>
      <c r="AM48" s="915">
        <f>30/100</f>
        <v>0.3</v>
      </c>
      <c r="AN48" s="715"/>
      <c r="AO48" s="715"/>
      <c r="AP48" s="715">
        <f>48/100</f>
        <v>0.48</v>
      </c>
      <c r="AQ48" s="715"/>
      <c r="AR48" s="715"/>
      <c r="AS48" s="715">
        <f>100/100</f>
        <v>1</v>
      </c>
      <c r="AT48" s="715"/>
      <c r="AU48" s="715"/>
      <c r="AV48" s="715">
        <f>100/100</f>
        <v>1</v>
      </c>
      <c r="AW48" s="715"/>
      <c r="AX48" s="916"/>
      <c r="AY48" s="366" t="str">
        <f t="shared" si="1"/>
        <v>5.9.1</v>
      </c>
      <c r="AZ48" s="388" t="s">
        <v>1270</v>
      </c>
      <c r="BA48" s="590" t="s">
        <v>1271</v>
      </c>
      <c r="BB48" s="590" t="s">
        <v>1455</v>
      </c>
      <c r="BC48" s="590" t="s">
        <v>1395</v>
      </c>
      <c r="BD48" s="886" t="s">
        <v>1494</v>
      </c>
      <c r="BE48" s="888" t="s">
        <v>1006</v>
      </c>
      <c r="BG48" s="407"/>
      <c r="BH48" s="435"/>
      <c r="BI48" s="435"/>
      <c r="BJ48" s="432"/>
    </row>
    <row r="49" spans="1:62" s="379" customFormat="1" ht="258.75" customHeight="1" x14ac:dyDescent="0.2">
      <c r="A49" s="12" t="str">
        <f>+'PAI 2021 - V4'!I48</f>
        <v>5.9.2</v>
      </c>
      <c r="B49" s="593" t="str">
        <f>+'PAI 2021 - V4'!A47</f>
        <v>11. Ciudades y comunidades sostenibles.
17. Alianzas para lograr los objetivos.</v>
      </c>
      <c r="C49" s="593" t="str">
        <f>+'PAI 2021 - V4'!B47</f>
        <v>Propósito 5
Logro de ciudad: 27 - 30</v>
      </c>
      <c r="D49" s="593" t="str">
        <f>+'PAI 2021 - V4'!C47</f>
        <v>Fortalecimiento organizacional y simplificación de procesos.
Racionalización de trámites.</v>
      </c>
      <c r="E49" s="593" t="str">
        <f>+'PAI 2021 - V4'!D47</f>
        <v>05 - Fortalecer la capacidad organizacional de Capital para ser una empresa transparente, eficiente y sostenible.</v>
      </c>
      <c r="F49" s="593" t="str">
        <f>+'PAI 2021 - V4'!E47</f>
        <v>5.9. Sistematización de los procesos institucionales (contractual y financiero)</v>
      </c>
      <c r="G49" s="593" t="str">
        <f>+'PAI 2021 - V4'!F47</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49" s="593" t="str">
        <f>+'PAI 2021 - V4'!G47</f>
        <v>1 software de gestión implementado</v>
      </c>
      <c r="I49" s="593" t="str">
        <f>+'PAI 2021 - V4'!H47</f>
        <v>1 Eficacia: (cumplimiento de metas)</v>
      </c>
      <c r="J49" s="588" t="str">
        <f>+'PAI 2021 - V4'!I48</f>
        <v>5.9.2</v>
      </c>
      <c r="K49" s="588" t="str">
        <f>+'PAI 2021 - V4'!J48</f>
        <v>Implementación del módulo componente financiero en el software de la intranet de Capital</v>
      </c>
      <c r="L49" s="588" t="str">
        <f t="shared" si="0"/>
        <v>5.9.2 Implementación del módulo componente financiero en el software de la intranet de Capital</v>
      </c>
      <c r="M49" s="588" t="str">
        <f>+'PAI 2021 - V4'!K48</f>
        <v>Implementar el módulo componente financiero para uso interno de la Subdirección Financiera</v>
      </c>
      <c r="N49" s="588" t="str">
        <f>+'PAI 2021 - V4'!L48</f>
        <v>Despliegue por fases del módulo financiero sobre el software de la intranet</v>
      </c>
      <c r="O49" s="515" t="str">
        <f>+'PAI 2021 - V4'!M48</f>
        <v>Implementación de las fases planeadas para el despliegue del módulo financiero</v>
      </c>
      <c r="P49" s="515" t="str">
        <f>+'PAI 2021 - V4'!N48</f>
        <v>1 Eficacia: (cumplimiento de metas)</v>
      </c>
      <c r="Q49" s="515" t="str">
        <f>+'PAI 2021 - V4'!O48</f>
        <v>Ejecutar las fases  1. Análisis, 2. Diseño, 3. Desarrollo, 4. Pruebas y 5. Despliegue del desarrollo, a fin de implementar el componente financiero del software de gestión</v>
      </c>
      <c r="R49" s="515" t="str">
        <f>+'PAI 2021 - V4'!P48</f>
        <v>Porcentaje de avance en las fases de la implementación del componente financiero / Porcentaje de avance programado para la vigencia.</v>
      </c>
      <c r="S49" s="590" t="s">
        <v>1109</v>
      </c>
      <c r="T49" s="590" t="s">
        <v>916</v>
      </c>
      <c r="U49" s="588" t="str">
        <f>+'PAI 2021 - V4'!Q48</f>
        <v>Porcentaje (%).</v>
      </c>
      <c r="V49" s="588" t="str">
        <f>+'PAI 2021 - V4'!R48</f>
        <v>No aplica.</v>
      </c>
      <c r="W49" s="306">
        <f>+'PAI 2021 - V4'!S48</f>
        <v>1</v>
      </c>
      <c r="X49" s="588" t="str">
        <f>+'PAI 2021 - V4'!T48</f>
        <v>-</v>
      </c>
      <c r="Y49" s="588" t="str">
        <f>+'PAI 2021 - V4'!U48</f>
        <v>-</v>
      </c>
      <c r="Z49" s="588" t="str">
        <f>+'PAI 2021 - V4'!V48</f>
        <v>-</v>
      </c>
      <c r="AA49" s="401">
        <f>+'PAI 2021 - V4'!W48</f>
        <v>0</v>
      </c>
      <c r="AB49" s="401">
        <f>+'PAI 2021 - V4'!X48</f>
        <v>0</v>
      </c>
      <c r="AC49" s="401">
        <f>+'PAI 2021 - V4'!Y48</f>
        <v>0</v>
      </c>
      <c r="AD49" s="401">
        <f>+'PAI 2021 - V4'!Z48</f>
        <v>0</v>
      </c>
      <c r="AE49" s="588" t="str">
        <f>+'PAI 2021 - V4'!AA48</f>
        <v>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v>
      </c>
      <c r="AF49" s="588" t="str">
        <f>+'PAI 2021 - V4'!AB48</f>
        <v>Cumplimiento de las actividades de gestión, según su ponderación.</v>
      </c>
      <c r="AG49" s="588" t="str">
        <f>+'PAI 2021 - V4'!AC48</f>
        <v>2 Eficiencia: (uso de los recursos)</v>
      </c>
      <c r="AH49" s="588" t="str">
        <f>+'PAI 2021 - V4'!AD48</f>
        <v>Porcentaje (%)</v>
      </c>
      <c r="AI49" s="588" t="str">
        <f>+'PAI 2021 - V4'!AE48</f>
        <v>Trimestral.</v>
      </c>
      <c r="AJ49" s="588" t="str">
        <f>+'PAI 2021 - V4'!AF48</f>
        <v xml:space="preserve">Como quiera que el desarrollo del software es producto del trabajo conjunto entre el subdirector financiero y el profesional universitario de Sistemas, la entidad no contempla erogación alguna para el mismo. </v>
      </c>
      <c r="AK49" s="306" t="str">
        <f>+'PAI 2021 - V4'!AG48</f>
        <v>Subdirector Financiero</v>
      </c>
      <c r="AL49" s="899" t="str">
        <f>+'PAI 2021 - V4'!AH48</f>
        <v>Profesional de Sistemas</v>
      </c>
      <c r="AM49" s="913">
        <f>20/25</f>
        <v>0.8</v>
      </c>
      <c r="AN49" s="708"/>
      <c r="AO49" s="708"/>
      <c r="AP49" s="708">
        <f>20/25</f>
        <v>0.8</v>
      </c>
      <c r="AQ49" s="708"/>
      <c r="AR49" s="708"/>
      <c r="AS49" s="708">
        <f>70/90</f>
        <v>0.77777777777777779</v>
      </c>
      <c r="AT49" s="708"/>
      <c r="AU49" s="708"/>
      <c r="AV49" s="708">
        <f>100/100</f>
        <v>1</v>
      </c>
      <c r="AW49" s="708"/>
      <c r="AX49" s="914"/>
      <c r="AY49" s="366" t="str">
        <f t="shared" si="1"/>
        <v>5.9.2</v>
      </c>
      <c r="AZ49" s="388" t="s">
        <v>1002</v>
      </c>
      <c r="BA49" s="590" t="s">
        <v>1226</v>
      </c>
      <c r="BB49" s="590" t="s">
        <v>1456</v>
      </c>
      <c r="BC49" s="590" t="s">
        <v>1394</v>
      </c>
      <c r="BD49" s="886" t="s">
        <v>1495</v>
      </c>
      <c r="BE49" s="888" t="s">
        <v>1006</v>
      </c>
      <c r="BG49" s="432"/>
      <c r="BH49" s="407"/>
      <c r="BI49" s="407"/>
      <c r="BJ49" s="432"/>
    </row>
    <row r="50" spans="1:62" s="379" customFormat="1" ht="167.25" customHeight="1" x14ac:dyDescent="0.2">
      <c r="A50" s="12" t="str">
        <f>+'PAI 2021 - V4'!I49</f>
        <v>5.10.1</v>
      </c>
      <c r="B50" s="593" t="str">
        <f>+'PAI 2021 - V4'!A49</f>
        <v>11. Ciudades y comunidades sostenibles.
17. Alianzas para lograr los objetivos.</v>
      </c>
      <c r="C50" s="593" t="str">
        <f>+'PAI 2021 - V4'!B49</f>
        <v>Propósito 5
Logro de ciudad: 30</v>
      </c>
      <c r="D50" s="593" t="str">
        <f>+'PAI 2021 - V4'!C49</f>
        <v>Fortalecimiento organizacional y simplificación de procesos.</v>
      </c>
      <c r="E50" s="593" t="str">
        <f>+'PAI 2021 - V4'!D49</f>
        <v>05 - Fortalecer la capacidad organizacional de Capital para ser una empresa transparente, eficiente y sostenible.</v>
      </c>
      <c r="F50" s="593" t="str">
        <f>+'PAI 2021 - V4'!E49</f>
        <v>5.10. Mejoramiento del régimen de contratación y de los documentos de la gestión contractual</v>
      </c>
      <c r="G50" s="593" t="str">
        <f>+'PAI 2021 - V4'!F49</f>
        <v>Mantener actualizada la información del proceso de gestión jurídica y contractual de acuerdo con el régimen de contratación aplicable.</v>
      </c>
      <c r="H50" s="593" t="str">
        <f>+'PAI 2021 - V4'!G49</f>
        <v>Revisión y actualización del manual de contratación</v>
      </c>
      <c r="I50" s="593" t="str">
        <f>+'PAI 2021 - V4'!H49</f>
        <v>2 Eficiencia: (uso de los recursos)</v>
      </c>
      <c r="J50" s="588" t="str">
        <f>+'PAI 2021 - V4'!I49</f>
        <v>5.10.1</v>
      </c>
      <c r="K50" s="588" t="str">
        <f>+'PAI 2021 - V4'!J49</f>
        <v xml:space="preserve">Revisión y actualización, de ser necesario, del Manual de contratación, supervisión e interventoría </v>
      </c>
      <c r="L50" s="588" t="str">
        <f t="shared" si="0"/>
        <v xml:space="preserve">5.10.1 Revisión y actualización, de ser necesario, del Manual de contratación, supervisión e interventoría </v>
      </c>
      <c r="M50" s="588" t="str">
        <f>+'PAI 2021 - V4'!K49</f>
        <v>Revisar y actualizar, de ser necesario, el Manual de contratación, supervisión e interventoría de conformidad con el régimen contractual aplicable a la entidad</v>
      </c>
      <c r="N50" s="588" t="str">
        <f>+'PAI 2021 - V4'!L49</f>
        <v>Manual de contratación, supervisión e interventoría revisado y actualizado, de ser necesario</v>
      </c>
      <c r="O50" s="515" t="str">
        <f>+'PAI 2021 - V4'!M49</f>
        <v>Cumplimiento en la revisión y actualización (si es requerido) del Manual de contratación, supervisión e interventoría</v>
      </c>
      <c r="P50" s="515" t="str">
        <f>+'PAI 2021 - V4'!N49</f>
        <v>1 Eficacia: (cumplimiento de metas)</v>
      </c>
      <c r="Q50" s="515" t="str">
        <f>+'PAI 2021 - V4'!O49</f>
        <v>Revisar el Manual de contratación, supervisión e interventoría y adelantar los ajustes y actualizaciones que se consideren pertinentes y oportunos.</v>
      </c>
      <c r="R50" s="515" t="str">
        <f>+'PAI 2021 - V4'!P49</f>
        <v>Porcentaje de avance en la revisión y actualización del Manual de contratación, supervisión e interventoría / Porcentaje de avance programado para la vigencia.</v>
      </c>
      <c r="S50" s="590" t="s">
        <v>1112</v>
      </c>
      <c r="T50" s="590" t="s">
        <v>1114</v>
      </c>
      <c r="U50" s="588" t="str">
        <f>+'PAI 2021 - V4'!Q49</f>
        <v>Porcentaje (%).</v>
      </c>
      <c r="V50" s="588" t="str">
        <f>+'PAI 2021 - V4'!R49</f>
        <v>No aplica.</v>
      </c>
      <c r="W50" s="306">
        <f>+'PAI 2021 - V4'!S49</f>
        <v>1</v>
      </c>
      <c r="X50" s="588">
        <f>+'PAI 2021 - V4'!T49</f>
        <v>1</v>
      </c>
      <c r="Y50" s="588">
        <f>+'PAI 2021 - V4'!U49</f>
        <v>1</v>
      </c>
      <c r="Z50" s="588">
        <f>+'PAI 2021 - V4'!V49</f>
        <v>1</v>
      </c>
      <c r="AA50" s="401">
        <f>+'PAI 2021 - V4'!W49</f>
        <v>175882800</v>
      </c>
      <c r="AB50" s="401">
        <f>+'PAI 2021 - V4'!X49</f>
        <v>181159284</v>
      </c>
      <c r="AC50" s="401">
        <f>+'PAI 2021 - V4'!Y49</f>
        <v>186594062.52000001</v>
      </c>
      <c r="AD50" s="401">
        <f>+'PAI 2021 - V4'!Z49</f>
        <v>192191884.39560002</v>
      </c>
      <c r="AE50" s="588" t="str">
        <f>+'PAI 2021 - V4'!AA49</f>
        <v>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v>
      </c>
      <c r="AF50" s="588" t="str">
        <f>+'PAI 2021 - V4'!AB49</f>
        <v>(Actividades/5)*100%</v>
      </c>
      <c r="AG50" s="588" t="str">
        <f>+'PAI 2021 - V4'!AC49</f>
        <v>2 Eficiencia: (uso de los recursos)</v>
      </c>
      <c r="AH50" s="588" t="str">
        <f>+'PAI 2021 - V4'!AD49</f>
        <v>Porcentaje (%)</v>
      </c>
      <c r="AI50" s="588" t="str">
        <f>+'PAI 2021 - V4'!AE49</f>
        <v>Trimestral.</v>
      </c>
      <c r="AJ50" s="588" t="str">
        <f>+'PAI 2021 - V4'!AF49</f>
        <v>Los costos asociados para las vigencias 2021 - 2024 corresponden a los honorarios de la asesora jurídica con el incremento respectivo</v>
      </c>
      <c r="AK50" s="306" t="str">
        <f>+'PAI 2021 - V4'!AG49</f>
        <v>Secretaria General</v>
      </c>
      <c r="AL50" s="899" t="str">
        <f>+'PAI 2021 - V4'!AH49</f>
        <v>Asesor(es) jurídico(s)</v>
      </c>
      <c r="AM50" s="915">
        <f>100/100</f>
        <v>1</v>
      </c>
      <c r="AN50" s="715"/>
      <c r="AO50" s="715"/>
      <c r="AP50" s="715">
        <f>100/100</f>
        <v>1</v>
      </c>
      <c r="AQ50" s="715"/>
      <c r="AR50" s="715"/>
      <c r="AS50" s="715">
        <f>100/100</f>
        <v>1</v>
      </c>
      <c r="AT50" s="715"/>
      <c r="AU50" s="715"/>
      <c r="AV50" s="715">
        <f>100/100</f>
        <v>1</v>
      </c>
      <c r="AW50" s="715"/>
      <c r="AX50" s="916"/>
      <c r="AY50" s="366" t="str">
        <f t="shared" si="1"/>
        <v>5.10.1</v>
      </c>
      <c r="AZ50" s="388" t="s">
        <v>988</v>
      </c>
      <c r="BA50" s="590" t="s">
        <v>1214</v>
      </c>
      <c r="BB50" s="590" t="s">
        <v>1308</v>
      </c>
      <c r="BC50" s="590" t="s">
        <v>1396</v>
      </c>
      <c r="BD50" s="886" t="s">
        <v>1496</v>
      </c>
      <c r="BE50" s="888" t="s">
        <v>1006</v>
      </c>
      <c r="BG50" s="435"/>
      <c r="BH50" s="435"/>
      <c r="BI50" s="407"/>
      <c r="BJ50" s="432"/>
    </row>
    <row r="51" spans="1:62" s="379" customFormat="1" ht="244.5" customHeight="1" x14ac:dyDescent="0.2">
      <c r="A51" s="12" t="str">
        <f>+'PAI 2021 - V4'!I50</f>
        <v>5.11.1</v>
      </c>
      <c r="B51" s="593" t="str">
        <f>+'PAI 2021 - V4'!A50</f>
        <v>11. Ciudades y comunidades sostenibles.
17. Alianzas para lograr los objetivos.</v>
      </c>
      <c r="C51" s="593" t="str">
        <f>+'PAI 2021 - V4'!B50</f>
        <v>Propósito 5
Logro de ciudad: 30</v>
      </c>
      <c r="D51" s="593" t="str">
        <f>+'PAI 2021 - V4'!C50</f>
        <v>Fortalecimiento organizacional y simplificación de procesos.</v>
      </c>
      <c r="E51" s="593" t="str">
        <f>+'PAI 2021 - V4'!D50</f>
        <v>05 - Fortalecer la capacidad organizacional de Capital para ser una empresa transparente, eficiente y sostenible.</v>
      </c>
      <c r="F51" s="593" t="str">
        <f>+'PAI 2021 - V4'!E50</f>
        <v>5.11. Fortalecimiento de las funciones de la gestión disciplinaria</v>
      </c>
      <c r="G51" s="593" t="str">
        <f>+'PAI 2021 - V4'!F50</f>
        <v>Documentar y mantener actualizada la información de procesos disciplinarios a cargo de la entidad, para facilitar su gestión.</v>
      </c>
      <c r="H51" s="593" t="str">
        <f>+'PAI 2021 - V4'!G50</f>
        <v>100% del procedimiento y de la información del sistema distrital de información disciplinaria actualizadas.</v>
      </c>
      <c r="I51" s="593" t="str">
        <f>+'PAI 2021 - V4'!H50</f>
        <v>2 Eficiencia: (uso de los recursos)</v>
      </c>
      <c r="J51" s="588" t="str">
        <f>+'PAI 2021 - V4'!I50</f>
        <v>5.11.1</v>
      </c>
      <c r="K51" s="588" t="str">
        <f>+'PAI 2021 - V4'!J50</f>
        <v>Actualización de la información sobre procesos disciplinarios.</v>
      </c>
      <c r="L51" s="588" t="str">
        <f t="shared" si="0"/>
        <v>5.11.1 Actualización de la información sobre procesos disciplinarios.</v>
      </c>
      <c r="M51" s="588" t="str">
        <f>+'PAI 2021 - V4'!K50</f>
        <v>Gestionar y mantener actualizada la información sobre procesos disciplinarios en el sistema distrital de información disciplinaria del distrito capital.</v>
      </c>
      <c r="N51" s="588" t="str">
        <f>+'PAI 2021 - V4'!L50</f>
        <v>Sistema distrital de información disciplinaria actualizada</v>
      </c>
      <c r="O51" s="515" t="str">
        <f>+'PAI 2021 - V4'!M50</f>
        <v>Cumplimiento en el cargue y actualización del Sistema distrital de información disciplinaria</v>
      </c>
      <c r="P51" s="515" t="str">
        <f>+'PAI 2021 - V4'!N50</f>
        <v>1 Eficacia: (cumplimiento de metas)</v>
      </c>
      <c r="Q51" s="515" t="str">
        <f>+'PAI 2021 - V4'!O50</f>
        <v>Contar con información completa en la plataforma que permita adelantar seguimientos respecto a los procesos disciplinarios que adelanta la entidad.</v>
      </c>
      <c r="R51" s="515" t="str">
        <f>+'PAI 2021 - V4'!P50</f>
        <v>Porcentaje de procesos disciplinarios cargados en el sistema de información / 100% de información requerida para cargar en el sistema de información disciplinaria</v>
      </c>
      <c r="S51" s="588" t="s">
        <v>918</v>
      </c>
      <c r="T51" s="588" t="s">
        <v>917</v>
      </c>
      <c r="U51" s="588" t="str">
        <f>+'PAI 2021 - V4'!Q50</f>
        <v>Porcentaje (%).</v>
      </c>
      <c r="V51" s="588" t="str">
        <f>+'PAI 2021 - V4'!R50</f>
        <v>No aplica.</v>
      </c>
      <c r="W51" s="442">
        <f>+'PAI 2021 - V4'!S50</f>
        <v>1</v>
      </c>
      <c r="X51" s="400">
        <f>+'PAI 2021 - V4'!T50</f>
        <v>1</v>
      </c>
      <c r="Y51" s="400">
        <f>+'PAI 2021 - V4'!U50</f>
        <v>1</v>
      </c>
      <c r="Z51" s="400">
        <f>+'PAI 2021 - V4'!V50</f>
        <v>1</v>
      </c>
      <c r="AA51" s="401">
        <f>+'PAI 2021 - V4'!W50</f>
        <v>166235367</v>
      </c>
      <c r="AB51" s="401">
        <f>+'PAI 2021 - V4'!X50</f>
        <v>171222428.00999999</v>
      </c>
      <c r="AC51" s="401">
        <f>+'PAI 2021 - V4'!Y50</f>
        <v>176359100.85029998</v>
      </c>
      <c r="AD51" s="401">
        <f>+'PAI 2021 - V4'!Z50</f>
        <v>181649873.87580898</v>
      </c>
      <c r="AE51" s="588" t="str">
        <f>+'PAI 2021 - V4'!AA50</f>
        <v>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v>
      </c>
      <c r="AF51" s="588" t="str">
        <f>+'PAI 2021 - V4'!AB50</f>
        <v>* Capacitaciones realizadas / 1.
* número de procesos registrados / número de procesos recibidos.
* % de avance en la actualización de los procedimientos asociados a los procesos disciplinarios.</v>
      </c>
      <c r="AG51" s="588" t="str">
        <f>+'PAI 2021 - V4'!AC50</f>
        <v>2 Eficiencia: (uso de los recursos)</v>
      </c>
      <c r="AH51" s="588" t="str">
        <f>+'PAI 2021 - V4'!AD50</f>
        <v>Porcentaje (%)</v>
      </c>
      <c r="AI51" s="588" t="str">
        <f>+'PAI 2021 - V4'!AE50</f>
        <v>Trimestral.</v>
      </c>
      <c r="AJ51" s="588" t="str">
        <f>+'PAI 2021 - V4'!AF50</f>
        <v>Los costos asociados son los relacionados con la gestión adelantada por los abogados externos de la entidad.</v>
      </c>
      <c r="AK51" s="306" t="str">
        <f>+'PAI 2021 - V4'!AG50</f>
        <v>Secretaria General</v>
      </c>
      <c r="AL51" s="899" t="str">
        <f>+'PAI 2021 - V4'!AH50</f>
        <v>Profesional de Jurídica</v>
      </c>
      <c r="AM51" s="913">
        <f>0/100</f>
        <v>0</v>
      </c>
      <c r="AN51" s="708"/>
      <c r="AO51" s="708"/>
      <c r="AP51" s="708">
        <f>0/100</f>
        <v>0</v>
      </c>
      <c r="AQ51" s="708"/>
      <c r="AR51" s="708"/>
      <c r="AS51" s="708">
        <f>50/100</f>
        <v>0.5</v>
      </c>
      <c r="AT51" s="708"/>
      <c r="AU51" s="708"/>
      <c r="AV51" s="708">
        <f>80/100</f>
        <v>0.8</v>
      </c>
      <c r="AW51" s="708"/>
      <c r="AX51" s="914"/>
      <c r="AY51" s="366" t="str">
        <f t="shared" si="1"/>
        <v>5.11.1</v>
      </c>
      <c r="AZ51" s="388" t="s">
        <v>989</v>
      </c>
      <c r="BA51" s="590" t="s">
        <v>1215</v>
      </c>
      <c r="BB51" s="590" t="s">
        <v>1457</v>
      </c>
      <c r="BC51" s="590" t="s">
        <v>1397</v>
      </c>
      <c r="BD51" s="886" t="s">
        <v>1497</v>
      </c>
      <c r="BE51" s="888" t="s">
        <v>1005</v>
      </c>
      <c r="BG51" s="435"/>
      <c r="BH51" s="435"/>
      <c r="BI51" s="407"/>
      <c r="BJ51" s="432"/>
    </row>
    <row r="52" spans="1:62" s="379" customFormat="1" ht="206.25" customHeight="1" x14ac:dyDescent="0.2">
      <c r="A52" s="12" t="str">
        <f>+'PAI 2021 - V4'!I51</f>
        <v>5.12.1</v>
      </c>
      <c r="B52" s="593" t="str">
        <f>+'PAI 2021 - V4'!A51</f>
        <v>11. Ciudades y comunidades sostenibles.
17. Alianzas para lograr los objetivos.</v>
      </c>
      <c r="C52" s="593" t="str">
        <f>+'PAI 2021 - V4'!B51</f>
        <v>Propósito 5
Logro de ciudad: 30</v>
      </c>
      <c r="D52" s="593" t="str">
        <f>+'PAI 2021 - V4'!C51</f>
        <v>Defensa jurídica.</v>
      </c>
      <c r="E52" s="593" t="str">
        <f>+'PAI 2021 - V4'!D51</f>
        <v>05 - Fortalecer la capacidad organizacional de Capital para ser una empresa transparente, eficiente y sostenible.</v>
      </c>
      <c r="F52" s="593" t="str">
        <f>+'PAI 2021 - V4'!E51</f>
        <v>5.12. Fortalecimiento de la defensa jurídica</v>
      </c>
      <c r="G52" s="593" t="str">
        <f>+'PAI 2021 - V4'!F51</f>
        <v>Capacitar en asuntos relacionados con la política de prevención de daño antijurídico.</v>
      </c>
      <c r="H52" s="593" t="str">
        <f>+'PAI 2021 - V4'!G51</f>
        <v>2 capacitaciones</v>
      </c>
      <c r="I52" s="593" t="str">
        <f>+'PAI 2021 - V4'!H51</f>
        <v>1 Eficacia: (cumplimiento de metas)</v>
      </c>
      <c r="J52" s="588" t="str">
        <f>+'PAI 2021 - V4'!I51</f>
        <v>5.12.1</v>
      </c>
      <c r="K52" s="588" t="str">
        <f>+'PAI 2021 - V4'!J51</f>
        <v>Capacitación en asuntos relacionados con la política de prevención de daño antijurídico.</v>
      </c>
      <c r="L52" s="588" t="str">
        <f t="shared" si="0"/>
        <v>5.12.1 Capacitación en asuntos relacionados con la política de prevención de daño antijurídico.</v>
      </c>
      <c r="M52" s="588" t="str">
        <f>+'PAI 2021 - V4'!K51</f>
        <v>Capacitar a los supervisores a fin de evitar  que con sus conductas se generen daños antijurídicos</v>
      </c>
      <c r="N52" s="588" t="str">
        <f>+'PAI 2021 - V4'!L51</f>
        <v>2 capacitaciones</v>
      </c>
      <c r="O52" s="515" t="str">
        <f>+'PAI 2021 - V4'!M51</f>
        <v>Realización de capacitaciones en asuntos relacionados con la política de prevención de daño antijurídico.</v>
      </c>
      <c r="P52" s="515" t="str">
        <f>+'PAI 2021 - V4'!N51</f>
        <v>1 Eficacia: (cumplimiento de metas)</v>
      </c>
      <c r="Q52" s="515" t="str">
        <f>+'PAI 2021 - V4'!O51</f>
        <v>Suministrar herramientas para adelantar una adecuada supervisión a fin de evitar daños antijurídicos</v>
      </c>
      <c r="R52" s="515" t="str">
        <f>+'PAI 2021 - V4'!P51</f>
        <v>Número de capacitaciones realizadas / Número de capacitaciones programadas</v>
      </c>
      <c r="S52" s="376" t="s">
        <v>1195</v>
      </c>
      <c r="T52" s="590" t="s">
        <v>1272</v>
      </c>
      <c r="U52" s="588" t="str">
        <f>+'PAI 2021 - V4'!Q51</f>
        <v>Número (#).</v>
      </c>
      <c r="V52" s="588" t="str">
        <f>+'PAI 2021 - V4'!R51</f>
        <v>No aplica.</v>
      </c>
      <c r="W52" s="525">
        <f>+'PAI 2021 - V4'!S51</f>
        <v>2</v>
      </c>
      <c r="X52" s="506">
        <f>+'PAI 2021 - V4'!T51</f>
        <v>2</v>
      </c>
      <c r="Y52" s="506">
        <f>+'PAI 2021 - V4'!U51</f>
        <v>2</v>
      </c>
      <c r="Z52" s="506">
        <f>+'PAI 2021 - V4'!V51</f>
        <v>2</v>
      </c>
      <c r="AA52" s="401">
        <v>0</v>
      </c>
      <c r="AB52" s="401">
        <v>0</v>
      </c>
      <c r="AC52" s="401">
        <v>0</v>
      </c>
      <c r="AD52" s="401">
        <v>0</v>
      </c>
      <c r="AE52" s="588" t="str">
        <f>+'PAI 2021 - V4'!AA51</f>
        <v>1. Convocar a  supervisores y apoyos a la supervisión a las capacitaciones
2. Capacitar en asuntos relacionados con la política de prevención de daño antijurídico</v>
      </c>
      <c r="AF52" s="588" t="str">
        <f>+'PAI 2021 - V4'!AB51</f>
        <v>(Actividades/2)*100%</v>
      </c>
      <c r="AG52" s="588" t="str">
        <f>+'PAI 2021 - V4'!AC51</f>
        <v>2 Eficiencia: (uso de los recursos)</v>
      </c>
      <c r="AH52" s="588" t="str">
        <f>+'PAI 2021 - V4'!AD51</f>
        <v>Porcentaje (%)</v>
      </c>
      <c r="AI52" s="588" t="str">
        <f>+'PAI 2021 - V4'!AE51</f>
        <v>Semestral.</v>
      </c>
      <c r="AJ52" s="588" t="str">
        <f>+'PAI 2021 - V4'!AF51</f>
        <v>La entidad no contempla erogación.</v>
      </c>
      <c r="AK52" s="306" t="str">
        <f>+'PAI 2021 - V4'!AG51</f>
        <v>Secretaria General</v>
      </c>
      <c r="AL52" s="899" t="str">
        <f>+'PAI 2021 - V4'!AH51</f>
        <v>Profesional de Jurídica</v>
      </c>
      <c r="AM52" s="913">
        <f>1/2</f>
        <v>0.5</v>
      </c>
      <c r="AN52" s="708"/>
      <c r="AO52" s="708"/>
      <c r="AP52" s="708"/>
      <c r="AQ52" s="708"/>
      <c r="AR52" s="708"/>
      <c r="AS52" s="722">
        <f>2/2</f>
        <v>1</v>
      </c>
      <c r="AT52" s="723"/>
      <c r="AU52" s="723"/>
      <c r="AV52" s="723"/>
      <c r="AW52" s="723"/>
      <c r="AX52" s="934"/>
      <c r="AY52" s="366" t="str">
        <f t="shared" si="1"/>
        <v>5.12.1</v>
      </c>
      <c r="AZ52" s="388" t="s">
        <v>990</v>
      </c>
      <c r="BA52" s="590" t="s">
        <v>1216</v>
      </c>
      <c r="BB52" s="590" t="s">
        <v>1309</v>
      </c>
      <c r="BC52" s="590" t="s">
        <v>1398</v>
      </c>
      <c r="BD52" s="886" t="s">
        <v>1498</v>
      </c>
      <c r="BE52" s="888" t="s">
        <v>1006</v>
      </c>
      <c r="BG52" s="435" t="s">
        <v>1066</v>
      </c>
      <c r="BH52" s="435" t="s">
        <v>1065</v>
      </c>
      <c r="BI52" s="407" t="s">
        <v>1067</v>
      </c>
      <c r="BJ52" s="432" t="s">
        <v>1023</v>
      </c>
    </row>
    <row r="53" spans="1:62" s="379" customFormat="1" ht="162.75" customHeight="1" x14ac:dyDescent="0.2">
      <c r="A53" s="12" t="str">
        <f>+'PAI 2021 - V4'!I52</f>
        <v>5.13.1</v>
      </c>
      <c r="B53" s="593" t="str">
        <f>+'PAI 2021 - V4'!A52</f>
        <v>16. Paz, justicia e instituciones sólidas.</v>
      </c>
      <c r="C53" s="593" t="str">
        <f>+'PAI 2021 - V4'!B52</f>
        <v>Propósito 1
Logro de ciudad: 3
Propósito 3
Logro de ciudad: 23
Propósito 5
Logros de ciudad: 27 - 30</v>
      </c>
      <c r="D53" s="593" t="str">
        <f>+'PAI 2021 - V4'!C52</f>
        <v>Servicio al ciudadano
Participación Ciudadana en la Gestión Pública</v>
      </c>
      <c r="E53" s="593" t="str">
        <f>+'PAI 2021 - V4'!D52</f>
        <v>05 - Fortalecer la capacidad organizacional de Capital para ser una empresa transparente, eficiente y sostenible.</v>
      </c>
      <c r="F53" s="593" t="str">
        <f>+'PAI 2021 - V4'!E52</f>
        <v>5.13. Fortalecer las herramientas y procesos en la gestión de la Atención al Ciudadano.</v>
      </c>
      <c r="G53" s="593" t="str">
        <f>+'PAI 2021 - V4'!F52</f>
        <v>Implementar el Plan de Acción de la Política Institucional de Servicio al Ciudadano.</v>
      </c>
      <c r="H53" s="593" t="str">
        <f>+'PAI 2021 - V4'!G52</f>
        <v>Porcentaje promedio de Cumplimiento de las actividades anuales del Plan de Acción de la Política Institucional de Servicio al Ciudadano.</v>
      </c>
      <c r="I53" s="593" t="str">
        <f>+'PAI 2021 - V4'!H52</f>
        <v>2 Eficiencia: (uso de los recursos)</v>
      </c>
      <c r="J53" s="588" t="str">
        <f>+'PAI 2021 - V4'!I52</f>
        <v>5.13.1</v>
      </c>
      <c r="K53" s="588" t="str">
        <f>+'PAI 2021 - V4'!J52</f>
        <v>Plan de Acción de la Política Institucional de Servicio al Ciudadano.</v>
      </c>
      <c r="L53" s="588" t="str">
        <f t="shared" si="0"/>
        <v>5.13.1 Plan de Acción de la Política Institucional de Servicio al Ciudadano.</v>
      </c>
      <c r="M53" s="588" t="str">
        <f>+'PAI 2021 - V4'!K52</f>
        <v>Fortalecer y mejorar la atención que se brinda al ciudadano, garantizando la calidad del servicio que presta la entidad.</v>
      </c>
      <c r="N53" s="588" t="str">
        <f>+'PAI 2021 - V4'!L52</f>
        <v>Matriz diligenciada del modelo de seguimiento y medición a la prestación del servicio (Plan de Acción)</v>
      </c>
      <c r="O53" s="588" t="str">
        <f>+'PAI 2021 - V4'!M52</f>
        <v>Cumplimiento al Plan de Acción de la Política Institucional de Servicio al Ciudadano</v>
      </c>
      <c r="P53" s="588" t="str">
        <f>+'PAI 2021 - V4'!N52</f>
        <v>1 Eficacia: (cumplimiento de metas)</v>
      </c>
      <c r="Q53" s="588" t="str">
        <f>+'PAI 2021 - V4'!O52</f>
        <v>Realizar el seguimiento al cumplimiento de las actividades de mejora propuestas en el Plan de Acción.</v>
      </c>
      <c r="R53" s="588" t="str">
        <f>+'PAI 2021 - V4'!P52</f>
        <v>(Porcentaje de avances en el cumplimiento de las acciones programadas en el Plan de Acción de Servicio a la Ciudadanía / Porcentaje total de acciones programadas en el Plan de Acción de Servicio a la Ciudadanía)*100%</v>
      </c>
      <c r="S53" s="515" t="s">
        <v>919</v>
      </c>
      <c r="T53" s="515" t="s">
        <v>920</v>
      </c>
      <c r="U53" s="588" t="str">
        <f>+'PAI 2021 - V4'!Q52</f>
        <v>Porcentaje (%).</v>
      </c>
      <c r="V53" s="588" t="str">
        <f>+'PAI 2021 - V4'!R52</f>
        <v>No aplica.</v>
      </c>
      <c r="W53" s="442">
        <f>+'PAI 2021 - V4'!S52</f>
        <v>0.8</v>
      </c>
      <c r="X53" s="400">
        <f>+'PAI 2021 - V4'!T52</f>
        <v>0.85</v>
      </c>
      <c r="Y53" s="400">
        <f>+'PAI 2021 - V4'!U52</f>
        <v>0.9</v>
      </c>
      <c r="Z53" s="400">
        <f>+'PAI 2021 - V4'!V52</f>
        <v>0.95</v>
      </c>
      <c r="AA53" s="401" t="str">
        <f>+'PAI 2021 - V4'!W52</f>
        <v>-</v>
      </c>
      <c r="AB53" s="401" t="str">
        <f>+'PAI 2021 - V4'!X52</f>
        <v>-</v>
      </c>
      <c r="AC53" s="401" t="str">
        <f>+'PAI 2021 - V4'!Y52</f>
        <v>-</v>
      </c>
      <c r="AD53" s="401" t="str">
        <f>+'PAI 2021 - V4'!Z52</f>
        <v>-</v>
      </c>
      <c r="AE53" s="588" t="str">
        <f>+'PAI 2021 - V4'!AA52</f>
        <v>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v>
      </c>
      <c r="AF53" s="588" t="str">
        <f>+'PAI 2021 - V4'!AB52</f>
        <v>Cumplimiento de las actividades de gestión, según su ponderación.</v>
      </c>
      <c r="AG53" s="588" t="str">
        <f>+'PAI 2021 - V4'!AC52</f>
        <v>2 Eficiencia: (uso de los recursos)</v>
      </c>
      <c r="AH53" s="588" t="str">
        <f>+'PAI 2021 - V4'!AD52</f>
        <v>Porcentaje (%)</v>
      </c>
      <c r="AI53" s="588" t="str">
        <f>+'PAI 2021 - V4'!AE52</f>
        <v>Trimestral.</v>
      </c>
      <c r="AJ53" s="588" t="str">
        <f>+'PAI 2021 - V4'!AF52</f>
        <v>No aplica.</v>
      </c>
      <c r="AK53" s="306" t="str">
        <f>+'PAI 2021 - V4'!AG52</f>
        <v>Secretaria General</v>
      </c>
      <c r="AL53" s="899" t="str">
        <f>+'PAI 2021 - V4'!AH52</f>
        <v>Auxiliar de Atención al Ciudadano</v>
      </c>
      <c r="AM53" s="909">
        <v>0</v>
      </c>
      <c r="AN53" s="704"/>
      <c r="AO53" s="704"/>
      <c r="AP53" s="704">
        <f>40/100</f>
        <v>0.4</v>
      </c>
      <c r="AQ53" s="704"/>
      <c r="AR53" s="704"/>
      <c r="AS53" s="704">
        <f>70/100</f>
        <v>0.7</v>
      </c>
      <c r="AT53" s="704"/>
      <c r="AU53" s="704"/>
      <c r="AV53" s="704">
        <f>100/100</f>
        <v>1</v>
      </c>
      <c r="AW53" s="704"/>
      <c r="AX53" s="910"/>
      <c r="AY53" s="366" t="str">
        <f t="shared" si="1"/>
        <v>5.13.1</v>
      </c>
      <c r="AZ53" s="388" t="s">
        <v>991</v>
      </c>
      <c r="BA53" s="590" t="s">
        <v>1217</v>
      </c>
      <c r="BB53" s="590" t="s">
        <v>1310</v>
      </c>
      <c r="BC53" s="590" t="s">
        <v>1399</v>
      </c>
      <c r="BD53" s="886" t="s">
        <v>1499</v>
      </c>
      <c r="BE53" s="888" t="s">
        <v>1006</v>
      </c>
      <c r="BG53" s="435" t="s">
        <v>1062</v>
      </c>
      <c r="BH53" s="435" t="s">
        <v>1027</v>
      </c>
      <c r="BI53" s="407" t="s">
        <v>1273</v>
      </c>
      <c r="BJ53" s="432" t="s">
        <v>1022</v>
      </c>
    </row>
    <row r="54" spans="1:62" s="379" customFormat="1" ht="210.75" customHeight="1" x14ac:dyDescent="0.2">
      <c r="A54" s="12" t="str">
        <f>+'PAI 2021 - V4'!I53</f>
        <v>5.13.2</v>
      </c>
      <c r="B54" s="593" t="str">
        <f>+'PAI 2021 - V4'!A52</f>
        <v>16. Paz, justicia e instituciones sólidas.</v>
      </c>
      <c r="C54" s="593" t="str">
        <f>+'PAI 2021 - V4'!B52</f>
        <v>Propósito 1
Logro de ciudad: 3
Propósito 3
Logro de ciudad: 23
Propósito 5
Logros de ciudad: 27 - 30</v>
      </c>
      <c r="D54" s="593" t="str">
        <f>+'PAI 2021 - V4'!C52</f>
        <v>Servicio al ciudadano
Participación Ciudadana en la Gestión Pública</v>
      </c>
      <c r="E54" s="593" t="str">
        <f>+'PAI 2021 - V4'!D52</f>
        <v>05 - Fortalecer la capacidad organizacional de Capital para ser una empresa transparente, eficiente y sostenible.</v>
      </c>
      <c r="F54" s="593" t="str">
        <f>+'PAI 2021 - V4'!E52</f>
        <v>5.13. Fortalecer las herramientas y procesos en la gestión de la Atención al Ciudadano.</v>
      </c>
      <c r="G54" s="593" t="str">
        <f>+'PAI 2021 - V4'!F53</f>
        <v>Verificar que las respuestas a la totalidad de las peticiones, quejas, reclamos y/o sugerencias sean atendidas en los términos establecidos por la ley.</v>
      </c>
      <c r="H54" s="593" t="str">
        <f>+'PAI 2021 - V4'!G53</f>
        <v>Porcentaje promedio de cumplimiento en las respuestas a las PQRS en los términos establecidos por la Ley</v>
      </c>
      <c r="I54" s="593" t="str">
        <f>+'PAI 2021 - V4'!H53</f>
        <v>2 Eficiencia: (uso de los recursos)</v>
      </c>
      <c r="J54" s="588" t="str">
        <f>+'PAI 2021 - V4'!I53</f>
        <v>5.13.2</v>
      </c>
      <c r="K54" s="588" t="str">
        <f>+'PAI 2021 - V4'!J53</f>
        <v>Atención Oportuna a las PQRS</v>
      </c>
      <c r="L54" s="588" t="str">
        <f t="shared" si="0"/>
        <v>5.13.2 Atención Oportuna a las PQRS</v>
      </c>
      <c r="M54" s="588" t="str">
        <f>+'PAI 2021 - V4'!K53</f>
        <v>Atender los diferentes requerimientos de los ciudadanos con el apoyo del área competente para satisfacer sus necesidades.</v>
      </c>
      <c r="N54" s="588" t="str">
        <f>+'PAI 2021 - V4'!L53</f>
        <v>Informes mensuales de PQRS</v>
      </c>
      <c r="O54" s="588" t="str">
        <f>+'PAI 2021 - V4'!M53</f>
        <v>Eficiencia en la atención a los PQRS</v>
      </c>
      <c r="P54" s="588" t="str">
        <f>+'PAI 2021 - V4'!N53</f>
        <v>2 Eficiencia: (uso de los recursos)</v>
      </c>
      <c r="Q54" s="588" t="str">
        <f>+'PAI 2021 - V4'!O53</f>
        <v>Cumplir con los tiempos establecidos por la Ley para la atención de las peticiones, quejas, reclamos y/o sugerencias.</v>
      </c>
      <c r="R54" s="588" t="str">
        <f>+'PAI 2021 - V4'!P53</f>
        <v>Número de PQRS atendidas oportunamente en el mes / Total de PQRS gestionadas en el mes</v>
      </c>
      <c r="S54" s="516" t="s">
        <v>923</v>
      </c>
      <c r="T54" s="516" t="s">
        <v>921</v>
      </c>
      <c r="U54" s="588" t="str">
        <f>+'PAI 2021 - V4'!Q53</f>
        <v>Porcentaje (%).</v>
      </c>
      <c r="V54" s="588" t="str">
        <f>+'PAI 2021 - V4'!R53</f>
        <v>No aplica.</v>
      </c>
      <c r="W54" s="442">
        <f>+'PAI 2021 - V4'!S53</f>
        <v>0.95</v>
      </c>
      <c r="X54" s="400">
        <f>+'PAI 2021 - V4'!T53</f>
        <v>0.95</v>
      </c>
      <c r="Y54" s="400">
        <f>+'PAI 2021 - V4'!U53</f>
        <v>0.95</v>
      </c>
      <c r="Z54" s="400">
        <f>+'PAI 2021 - V4'!V53</f>
        <v>0.95</v>
      </c>
      <c r="AA54" s="401" t="str">
        <f>+'PAI 2021 - V4'!W53</f>
        <v>-</v>
      </c>
      <c r="AB54" s="401" t="str">
        <f>+'PAI 2021 - V4'!X53</f>
        <v>-</v>
      </c>
      <c r="AC54" s="401" t="str">
        <f>+'PAI 2021 - V4'!Y53</f>
        <v>-</v>
      </c>
      <c r="AD54" s="401" t="str">
        <f>+'PAI 2021 - V4'!Z53</f>
        <v>-</v>
      </c>
      <c r="AE54" s="588" t="str">
        <f>+'PAI 2021 - V4'!AA53</f>
        <v xml:space="preserve">
Tramitar la totalidad de las PQRS recibidas en la entidad y hacer seguimiento mensual sobre el cumplimiento de las mismas. 
</v>
      </c>
      <c r="AF54" s="588" t="str">
        <f>+'PAI 2021 - V4'!AB53</f>
        <v>(Número de solicitudes atendidas durante el mes (incluyendo las registradas no atendidas de meses anteriores por tiempos de respuesta) / Número de solicitudes recibidas durante el mes) * 100%</v>
      </c>
      <c r="AG54" s="588" t="str">
        <f>+'PAI 2021 - V4'!AC53</f>
        <v>1 Eficacia: (cumplimiento de metas)</v>
      </c>
      <c r="AH54" s="588" t="str">
        <f>+'PAI 2021 - V4'!AD53</f>
        <v>Porcentaje (%)</v>
      </c>
      <c r="AI54" s="588" t="str">
        <f>+'PAI 2021 - V4'!AE53</f>
        <v>Mensual.</v>
      </c>
      <c r="AJ54" s="588" t="str">
        <f>+'PAI 2021 - V4'!AF53</f>
        <v>No aplica.</v>
      </c>
      <c r="AK54" s="306" t="str">
        <f>+'PAI 2021 - V4'!AG53</f>
        <v>Secretaria General</v>
      </c>
      <c r="AL54" s="899" t="str">
        <f>+'PAI 2021 - V4'!AH53</f>
        <v>Auxiliar de Atención al Ciudadano</v>
      </c>
      <c r="AM54" s="935">
        <f>42/56</f>
        <v>0.75</v>
      </c>
      <c r="AN54" s="602">
        <f>31/33</f>
        <v>0.93939393939393945</v>
      </c>
      <c r="AO54" s="602">
        <f>46/45</f>
        <v>1.0222222222222221</v>
      </c>
      <c r="AP54" s="602">
        <f>61/37</f>
        <v>1.6486486486486487</v>
      </c>
      <c r="AQ54" s="602">
        <f>35/37</f>
        <v>0.94594594594594594</v>
      </c>
      <c r="AR54" s="602">
        <f>42/43</f>
        <v>0.97674418604651159</v>
      </c>
      <c r="AS54" s="602">
        <f>39/26</f>
        <v>1.5</v>
      </c>
      <c r="AT54" s="602">
        <f>42/37</f>
        <v>1.1351351351351351</v>
      </c>
      <c r="AU54" s="602">
        <f>36/33</f>
        <v>1.0909090909090908</v>
      </c>
      <c r="AV54" s="602">
        <f>43/25</f>
        <v>1.72</v>
      </c>
      <c r="AW54" s="602">
        <f>27/39</f>
        <v>0.69230769230769229</v>
      </c>
      <c r="AX54" s="936">
        <f>23/31</f>
        <v>0.74193548387096775</v>
      </c>
      <c r="AY54" s="366" t="str">
        <f t="shared" si="1"/>
        <v>5.13.2</v>
      </c>
      <c r="AZ54" s="388" t="s">
        <v>992</v>
      </c>
      <c r="BA54" s="590" t="s">
        <v>992</v>
      </c>
      <c r="BB54" s="590" t="s">
        <v>992</v>
      </c>
      <c r="BC54" s="590" t="s">
        <v>992</v>
      </c>
      <c r="BD54" s="886" t="s">
        <v>1500</v>
      </c>
      <c r="BE54" s="888" t="s">
        <v>1006</v>
      </c>
      <c r="BG54" s="435" t="s">
        <v>1062</v>
      </c>
      <c r="BH54" s="435" t="s">
        <v>1065</v>
      </c>
      <c r="BI54" s="435" t="s">
        <v>1057</v>
      </c>
      <c r="BJ54" s="432" t="s">
        <v>1023</v>
      </c>
    </row>
    <row r="55" spans="1:62" ht="162.75" customHeight="1" x14ac:dyDescent="0.2">
      <c r="A55" s="12" t="str">
        <f>+'PAI 2021 - V4'!I54</f>
        <v>5.14.1</v>
      </c>
      <c r="B55" s="593" t="str">
        <f>+'PAI 2021 - V4'!A54</f>
        <v>11. Ciudades y comunidades sostenibles.
16. Paz, justicia e instituciones sólidas.</v>
      </c>
      <c r="C55" s="593" t="str">
        <f>+'PAI 2021 - V4'!B54</f>
        <v>Propósito 5
Logro de ciudad: 30</v>
      </c>
      <c r="D55" s="593" t="str">
        <f>+'PAI 2021 - V4'!C54</f>
        <v>Seguimiento y evaluación del desempeño institucional.
Control Interno.</v>
      </c>
      <c r="E55" s="593" t="str">
        <f>+'PAI 2021 - V4'!D54</f>
        <v>05 - Fortalecer la capacidad organizacional de Capital para ser una empresa transparente, eficiente y sostenible.</v>
      </c>
      <c r="F55" s="593" t="str">
        <f>+'PAI 2021 - V4'!E54</f>
        <v>5.14. Evaluación y recomendaciones estratégicas de valor a la gestión institucional</v>
      </c>
      <c r="G55" s="593" t="str">
        <f>+'PAI 2021 - V4'!F54</f>
        <v xml:space="preserve">Cumplir con el 100% de las acciones establecidas en el Plan Anual de Auditoría </v>
      </c>
      <c r="H55" s="593" t="str">
        <f>+'PAI 2021 - V4'!G54</f>
        <v xml:space="preserve">Porcentaje promedio de Cumplimiento de las actividades anuales del Plan Anual de Auditoría </v>
      </c>
      <c r="I55" s="593" t="str">
        <f>+'PAI 2021 - V4'!H54</f>
        <v>2 Eficiencia: (uso de los recursos)</v>
      </c>
      <c r="J55" s="588" t="str">
        <f>+'PAI 2021 - V4'!I54</f>
        <v>5.14.1</v>
      </c>
      <c r="K55" s="588" t="str">
        <f>+'PAI 2021 - V4'!J54</f>
        <v xml:space="preserve">Plan Anual de Auditoría </v>
      </c>
      <c r="L55" s="588" t="str">
        <f t="shared" si="0"/>
        <v xml:space="preserve">5.14.1 Plan Anual de Auditoría </v>
      </c>
      <c r="M55" s="588" t="str">
        <f>+'PAI 2021 - V4'!K54</f>
        <v>Adelantar actividades de aseguramiento y consultoría de forma objetiva e independiente a los diferentes procesos, proyectos y políticas de Capital buscando generar valor a la entidad.</v>
      </c>
      <c r="N55" s="588" t="str">
        <f>+'PAI 2021 - V4'!L54</f>
        <v>Informes, seguimientos, Tips, Actas de reunión y Capacitaciones</v>
      </c>
      <c r="O55" s="588" t="str">
        <f>+'PAI 2021 - V4'!M54</f>
        <v>Actividades de aseguramiento y Consultoría</v>
      </c>
      <c r="P55" s="588" t="str">
        <f>+'PAI 2021 - V4'!N54</f>
        <v>2 Eficiencia: (uso de los recursos)</v>
      </c>
      <c r="Q55" s="588" t="str">
        <f>+'PAI 2021 - V4'!O54</f>
        <v xml:space="preserve">Monitorear el cumplimiento de las actividades establecidas en el Plan Anual de Auditoría </v>
      </c>
      <c r="R55" s="588" t="str">
        <f>+'PAI 2021 - V4'!P54</f>
        <v>(Número de actividades cumplidas del Plan Anual de Auditorías a la fecha de seguimiento / Número de actividades programadas en el Plan Anual de Auditorías a la fecha de corte)*100%.</v>
      </c>
      <c r="S55" s="590" t="s">
        <v>924</v>
      </c>
      <c r="T55" s="590" t="s">
        <v>922</v>
      </c>
      <c r="U55" s="588" t="str">
        <f>+'PAI 2021 - V4'!Q54</f>
        <v>Porcentaje (%).</v>
      </c>
      <c r="V55" s="400">
        <f>+'PAI 2021 - V4'!R54</f>
        <v>0.94</v>
      </c>
      <c r="W55" s="442">
        <f>+'PAI 2021 - V4'!S54</f>
        <v>0.96</v>
      </c>
      <c r="X55" s="400">
        <f>+'PAI 2021 - V4'!T54</f>
        <v>0.98</v>
      </c>
      <c r="Y55" s="400">
        <f>+'PAI 2021 - V4'!U54</f>
        <v>0.99</v>
      </c>
      <c r="Z55" s="400">
        <f>+'PAI 2021 - V4'!V54</f>
        <v>1</v>
      </c>
      <c r="AA55" s="401">
        <f>+'PAI 2021 - V4'!W54</f>
        <v>234036000</v>
      </c>
      <c r="AB55" s="401">
        <f>+'PAI 2021 - V4'!X54</f>
        <v>243397440</v>
      </c>
      <c r="AC55" s="401">
        <f>+'PAI 2021 - V4'!Y54</f>
        <v>252819993.59999999</v>
      </c>
      <c r="AD55" s="401">
        <f>+'PAI 2021 - V4'!Z54</f>
        <v>262306105.34399998</v>
      </c>
      <c r="AE55" s="588" t="str">
        <f>+'PAI 2021 - V4'!AA54</f>
        <v xml:space="preserve">Ejecutar las actividades formuladas en el Plan Anual de Auditoría  </v>
      </c>
      <c r="AF55" s="588" t="str">
        <f>+'PAI 2021 - V4'!AB54</f>
        <v>(Número de actividades cumplidas del Plan Anual de Auditorías a la fecha de corte / Número de actividades programadas en el Plan Anual de Auditorías a la fecha de corte)*100%.</v>
      </c>
      <c r="AG55" s="588" t="str">
        <f>+'PAI 2021 - V4'!AC54</f>
        <v>2 Eficiencia: (uso de los recursos)</v>
      </c>
      <c r="AH55" s="588" t="str">
        <f>+'PAI 2021 - V4'!AD54</f>
        <v>Porcentaje (%)</v>
      </c>
      <c r="AI55" s="588" t="str">
        <f>+'PAI 2021 - V4'!AE54</f>
        <v>Trimestral.</v>
      </c>
      <c r="AJ55" s="588" t="str">
        <f>+'PAI 2021 - V4'!AF54</f>
        <v>No aplica.</v>
      </c>
      <c r="AK55" s="306" t="str">
        <f>+'PAI 2021 - V4'!AG54</f>
        <v>Jefe Oficina de Control Interno</v>
      </c>
      <c r="AL55" s="899" t="str">
        <f>+'PAI 2021 - V4'!AH54</f>
        <v xml:space="preserve">Contratista Profesional Oficina de Control Interno </v>
      </c>
      <c r="AM55" s="915">
        <f>45/45</f>
        <v>1</v>
      </c>
      <c r="AN55" s="715"/>
      <c r="AO55" s="715"/>
      <c r="AP55" s="715">
        <f>51/51</f>
        <v>1</v>
      </c>
      <c r="AQ55" s="715"/>
      <c r="AR55" s="715"/>
      <c r="AS55" s="715">
        <f>47/53</f>
        <v>0.8867924528301887</v>
      </c>
      <c r="AT55" s="715"/>
      <c r="AU55" s="715"/>
      <c r="AV55" s="715">
        <f>45/45</f>
        <v>1</v>
      </c>
      <c r="AW55" s="715"/>
      <c r="AX55" s="916"/>
      <c r="AY55" s="366" t="str">
        <f t="shared" si="1"/>
        <v>5.14.1</v>
      </c>
      <c r="AZ55" s="388" t="s">
        <v>982</v>
      </c>
      <c r="BA55" s="590" t="s">
        <v>1274</v>
      </c>
      <c r="BB55" s="590" t="s">
        <v>1458</v>
      </c>
      <c r="BC55" s="590" t="s">
        <v>1459</v>
      </c>
      <c r="BD55" s="886" t="s">
        <v>1501</v>
      </c>
      <c r="BE55" s="888" t="s">
        <v>1006</v>
      </c>
      <c r="BG55" s="435" t="s">
        <v>1062</v>
      </c>
      <c r="BH55" s="435" t="s">
        <v>1065</v>
      </c>
      <c r="BI55" s="435" t="s">
        <v>1057</v>
      </c>
      <c r="BJ55" s="432" t="s">
        <v>1023</v>
      </c>
    </row>
    <row r="56" spans="1:62" ht="150" customHeight="1" x14ac:dyDescent="0.2">
      <c r="A56" s="12" t="str">
        <f>+'PAI 2021 - V4'!I55</f>
        <v>5.14.2</v>
      </c>
      <c r="B56" s="593" t="str">
        <f>+'PAI 2021 - V4'!A54</f>
        <v>11. Ciudades y comunidades sostenibles.
16. Paz, justicia e instituciones sólidas.</v>
      </c>
      <c r="C56" s="593" t="str">
        <f>+'PAI 2021 - V4'!B54</f>
        <v>Propósito 5
Logro de ciudad: 30</v>
      </c>
      <c r="D56" s="593" t="str">
        <f>+'PAI 2021 - V4'!C54</f>
        <v>Seguimiento y evaluación del desempeño institucional.
Control Interno.</v>
      </c>
      <c r="E56" s="593" t="str">
        <f>+'PAI 2021 - V4'!D54</f>
        <v>05 - Fortalecer la capacidad organizacional de Capital para ser una empresa transparente, eficiente y sostenible.</v>
      </c>
      <c r="F56" s="593" t="str">
        <f>+'PAI 2021 - V4'!E54</f>
        <v>5.14. Evaluación y recomendaciones estratégicas de valor a la gestión institucional</v>
      </c>
      <c r="G56" s="593" t="str">
        <f>+'PAI 2021 - V4'!F54</f>
        <v xml:space="preserve">Cumplir con el 100% de las acciones establecidas en el Plan Anual de Auditoría </v>
      </c>
      <c r="H56" s="593" t="str">
        <f>+'PAI 2021 - V4'!G54</f>
        <v xml:space="preserve">Porcentaje promedio de Cumplimiento de las actividades anuales del Plan Anual de Auditoría </v>
      </c>
      <c r="I56" s="593" t="str">
        <f>+'PAI 2021 - V4'!H54</f>
        <v>2 Eficiencia: (uso de los recursos)</v>
      </c>
      <c r="J56" s="588" t="str">
        <f>+'PAI 2021 - V4'!I55</f>
        <v>5.14.2</v>
      </c>
      <c r="K56" s="588" t="s">
        <v>1319</v>
      </c>
      <c r="L56" s="588" t="str">
        <f t="shared" si="0"/>
        <v>5.14.2 Plan de Mejoramiento</v>
      </c>
      <c r="M56" s="588" t="str">
        <f>+'PAI 2021 - V4'!K54</f>
        <v>Adelantar actividades de aseguramiento y consultoría de forma objetiva e independiente a los diferentes procesos, proyectos y políticas de Capital buscando generar valor a la entidad.</v>
      </c>
      <c r="N56" s="588" t="str">
        <f>+'PAI 2021 - V4'!L54</f>
        <v>Informes, seguimientos, Tips, Actas de reunión y Capacitaciones</v>
      </c>
      <c r="O56" s="588" t="str">
        <f>+'PAI 2021 - V4'!M54</f>
        <v>Actividades de aseguramiento y Consultoría</v>
      </c>
      <c r="P56" s="588" t="str">
        <f>+'PAI 2021 - V4'!N54</f>
        <v>2 Eficiencia: (uso de los recursos)</v>
      </c>
      <c r="Q56" s="588" t="str">
        <f>+'PAI 2021 - V4'!O54</f>
        <v xml:space="preserve">Monitorear el cumplimiento de las actividades establecidas en el Plan Anual de Auditoría </v>
      </c>
      <c r="R56" s="590" t="s">
        <v>342</v>
      </c>
      <c r="S56" s="590" t="s">
        <v>984</v>
      </c>
      <c r="T56" s="590" t="s">
        <v>985</v>
      </c>
      <c r="U56" s="588" t="str">
        <f>+'PAI 2021 - V4'!Q54</f>
        <v>Porcentaje (%).</v>
      </c>
      <c r="V56" s="404">
        <f>+'PAI 2021 - V4'!R54</f>
        <v>0.94</v>
      </c>
      <c r="W56" s="442">
        <f>+'PAI 2021 - V4'!S54</f>
        <v>0.96</v>
      </c>
      <c r="X56" s="400">
        <f>+'PAI 2021 - V4'!T54</f>
        <v>0.98</v>
      </c>
      <c r="Y56" s="400">
        <f>+'PAI 2021 - V4'!U54</f>
        <v>0.99</v>
      </c>
      <c r="Z56" s="400">
        <f>+'PAI 2021 - V4'!V54</f>
        <v>1</v>
      </c>
      <c r="AA56" s="401">
        <f>+'PAI 2021 - V4'!W54</f>
        <v>234036000</v>
      </c>
      <c r="AB56" s="401">
        <f>+'PAI 2021 - V4'!X54</f>
        <v>243397440</v>
      </c>
      <c r="AC56" s="401">
        <f>+'PAI 2021 - V4'!Y54</f>
        <v>252819993.59999999</v>
      </c>
      <c r="AD56" s="401">
        <f>+'PAI 2021 - V4'!Z54</f>
        <v>262306105.34399998</v>
      </c>
      <c r="AE56" s="588" t="str">
        <f>+'PAI 2021 - V4'!AA55</f>
        <v xml:space="preserve">Realizar seguimiento a las acciones formuladas en el Plan de Mejoramiento por procesos </v>
      </c>
      <c r="AF56" s="588" t="str">
        <f>+'PAI 2021 - V4'!AB55</f>
        <v>(Número de acciones cumplidas con fecha vencida del Plan de Mejoramiento por procesos a la fecha de corte / Número de acciones vencidas con estado abierto del Plan de Mejoramiento por procesos a la fecha de corte)*100%.</v>
      </c>
      <c r="AG56" s="588" t="str">
        <f>+'PAI 2021 - V4'!AC55</f>
        <v>2 Eficiencia: (uso de los recursos)</v>
      </c>
      <c r="AH56" s="588" t="str">
        <f>+'PAI 2021 - V4'!AD55</f>
        <v>Porcentaje (%)</v>
      </c>
      <c r="AI56" s="588" t="str">
        <f>+'PAI 2021 - V4'!AE55</f>
        <v>Cuatrimestral.</v>
      </c>
      <c r="AJ56" s="588" t="str">
        <f>+'PAI 2021 - V4'!AF55</f>
        <v>No aplica.</v>
      </c>
      <c r="AK56" s="306" t="str">
        <f>+'PAI 2021 - V4'!AG55</f>
        <v>Jefe Oficina de Control Interno</v>
      </c>
      <c r="AL56" s="899" t="str">
        <f>+'PAI 2021 - V4'!AH55</f>
        <v xml:space="preserve">Contratista Profesional Oficina de Control Interno </v>
      </c>
      <c r="AM56" s="913">
        <f>47/73</f>
        <v>0.64383561643835618</v>
      </c>
      <c r="AN56" s="708"/>
      <c r="AO56" s="708"/>
      <c r="AP56" s="708"/>
      <c r="AQ56" s="708">
        <f>43/66</f>
        <v>0.65151515151515149</v>
      </c>
      <c r="AR56" s="708"/>
      <c r="AS56" s="708"/>
      <c r="AT56" s="708"/>
      <c r="AU56" s="724">
        <f>36/69</f>
        <v>0.52173913043478259</v>
      </c>
      <c r="AV56" s="724"/>
      <c r="AW56" s="724"/>
      <c r="AX56" s="937"/>
      <c r="AY56" s="366" t="str">
        <f t="shared" si="1"/>
        <v>5.14.2</v>
      </c>
      <c r="AZ56" s="388" t="s">
        <v>983</v>
      </c>
      <c r="BA56" s="590" t="s">
        <v>1275</v>
      </c>
      <c r="BB56" s="590" t="s">
        <v>1460</v>
      </c>
      <c r="BC56" s="516" t="s">
        <v>1524</v>
      </c>
      <c r="BD56" s="886" t="s">
        <v>1525</v>
      </c>
      <c r="BE56" s="888" t="s">
        <v>1005</v>
      </c>
      <c r="BG56" s="435" t="s">
        <v>1062</v>
      </c>
      <c r="BH56" s="435" t="s">
        <v>1068</v>
      </c>
      <c r="BI56" s="435" t="s">
        <v>1069</v>
      </c>
      <c r="BJ56" s="407" t="s">
        <v>1024</v>
      </c>
    </row>
    <row r="57" spans="1:62" ht="166.5" customHeight="1" thickBot="1" x14ac:dyDescent="0.25">
      <c r="A57" s="605" t="str">
        <f>+'PAI 2021 - V4'!I56</f>
        <v>5.14.3</v>
      </c>
      <c r="B57" s="607" t="str">
        <f>+'PAI 2021 - V4'!A54</f>
        <v>11. Ciudades y comunidades sostenibles.
16. Paz, justicia e instituciones sólidas.</v>
      </c>
      <c r="C57" s="607" t="str">
        <f>+'PAI 2021 - V4'!B54</f>
        <v>Propósito 5
Logro de ciudad: 30</v>
      </c>
      <c r="D57" s="607" t="str">
        <f>+'PAI 2021 - V4'!C54</f>
        <v>Seguimiento y evaluación del desempeño institucional.
Control Interno.</v>
      </c>
      <c r="E57" s="607" t="str">
        <f>+'PAI 2021 - V4'!D54</f>
        <v>05 - Fortalecer la capacidad organizacional de Capital para ser una empresa transparente, eficiente y sostenible.</v>
      </c>
      <c r="F57" s="607" t="str">
        <f>+'PAI 2021 - V4'!E54</f>
        <v>5.14. Evaluación y recomendaciones estratégicas de valor a la gestión institucional</v>
      </c>
      <c r="G57" s="607" t="str">
        <f>+'PAI 2021 - V4'!F54</f>
        <v xml:space="preserve">Cumplir con el 100% de las acciones establecidas en el Plan Anual de Auditoría </v>
      </c>
      <c r="H57" s="607" t="str">
        <f>+'PAI 2021 - V4'!G54</f>
        <v xml:space="preserve">Porcentaje promedio de Cumplimiento de las actividades anuales del Plan Anual de Auditoría </v>
      </c>
      <c r="I57" s="607" t="str">
        <f>+'PAI 2021 - V4'!H54</f>
        <v>2 Eficiencia: (uso de los recursos)</v>
      </c>
      <c r="J57" s="589" t="str">
        <f>+'PAI 2021 - V4'!I56</f>
        <v>5.14.3</v>
      </c>
      <c r="K57" s="589" t="s">
        <v>1320</v>
      </c>
      <c r="L57" s="589" t="str">
        <f t="shared" si="0"/>
        <v>5.14.3 Plan Anticorrupción y de Atención al Ciudadano - PAAC</v>
      </c>
      <c r="M57" s="589" t="str">
        <f>+'PAI 2021 - V4'!K54</f>
        <v>Adelantar actividades de aseguramiento y consultoría de forma objetiva e independiente a los diferentes procesos, proyectos y políticas de Capital buscando generar valor a la entidad.</v>
      </c>
      <c r="N57" s="589" t="str">
        <f>+'PAI 2021 - V4'!L54</f>
        <v>Informes, seguimientos, Tips, Actas de reunión y Capacitaciones</v>
      </c>
      <c r="O57" s="589" t="str">
        <f>+'PAI 2021 - V4'!M54</f>
        <v>Actividades de aseguramiento y Consultoría</v>
      </c>
      <c r="P57" s="589" t="str">
        <f>+'PAI 2021 - V4'!N54</f>
        <v>2 Eficiencia: (uso de los recursos)</v>
      </c>
      <c r="Q57" s="589" t="str">
        <f>+'PAI 2021 - V4'!O54</f>
        <v xml:space="preserve">Monitorear el cumplimiento de las actividades establecidas en el Plan Anual de Auditoría </v>
      </c>
      <c r="R57" s="891" t="s">
        <v>345</v>
      </c>
      <c r="S57" s="891" t="s">
        <v>986</v>
      </c>
      <c r="T57" s="891" t="s">
        <v>987</v>
      </c>
      <c r="U57" s="589" t="str">
        <f>+'PAI 2021 - V4'!Q54</f>
        <v>Porcentaje (%).</v>
      </c>
      <c r="V57" s="892">
        <f>+'PAI 2021 - V4'!R54</f>
        <v>0.94</v>
      </c>
      <c r="W57" s="893">
        <f>+'PAI 2021 - V4'!S54</f>
        <v>0.96</v>
      </c>
      <c r="X57" s="892">
        <f>+'PAI 2021 - V4'!T54</f>
        <v>0.98</v>
      </c>
      <c r="Y57" s="892">
        <f>+'PAI 2021 - V4'!U54</f>
        <v>0.99</v>
      </c>
      <c r="Z57" s="892">
        <f>+'PAI 2021 - V4'!V54</f>
        <v>1</v>
      </c>
      <c r="AA57" s="894">
        <f>+'PAI 2021 - V4'!W54</f>
        <v>234036000</v>
      </c>
      <c r="AB57" s="894">
        <f>+'PAI 2021 - V4'!X54</f>
        <v>243397440</v>
      </c>
      <c r="AC57" s="894">
        <f>+'PAI 2021 - V4'!Y54</f>
        <v>252819993.59999999</v>
      </c>
      <c r="AD57" s="894">
        <f>+'PAI 2021 - V4'!Z54</f>
        <v>262306105.34399998</v>
      </c>
      <c r="AE57" s="589" t="str">
        <f>+'PAI 2021 - V4'!AA56</f>
        <v>Realizar seguimiento a las actividades que se establezcan anualmente en el PAAC</v>
      </c>
      <c r="AF57" s="589" t="str">
        <f>+'PAI 2021 - V4'!AB56</f>
        <v>(Avances en el cumplimiento de las acciones programadas en el Plan Anticorrupción y de Atención al Ciudadano - PAAC / Total de acciones programadas en el Plan Anticorrupción y de Atención al Ciudadano - PAAC)*100%.</v>
      </c>
      <c r="AG57" s="589" t="str">
        <f>+'PAI 2021 - V4'!AC56</f>
        <v>2 Eficiencia: (uso de los recursos)</v>
      </c>
      <c r="AH57" s="589" t="str">
        <f>+'PAI 2021 - V4'!AD56</f>
        <v>Porcentaje (%)</v>
      </c>
      <c r="AI57" s="589" t="str">
        <f>+'PAI 2021 - V4'!AE56</f>
        <v>Cuatrimestral.</v>
      </c>
      <c r="AJ57" s="589" t="str">
        <f>+'PAI 2021 - V4'!AF56</f>
        <v>No aplica.</v>
      </c>
      <c r="AK57" s="606" t="str">
        <f>+'PAI 2021 - V4'!AG56</f>
        <v>Jefe Oficina de Control Interno</v>
      </c>
      <c r="AL57" s="900" t="str">
        <f>+'PAI 2021 - V4'!AH56</f>
        <v xml:space="preserve">Contratista Profesional Oficina de Control Interno </v>
      </c>
      <c r="AM57" s="938">
        <f>31/52</f>
        <v>0.59615384615384615</v>
      </c>
      <c r="AN57" s="895"/>
      <c r="AO57" s="895"/>
      <c r="AP57" s="895"/>
      <c r="AQ57" s="895">
        <f>33/43</f>
        <v>0.76744186046511631</v>
      </c>
      <c r="AR57" s="895"/>
      <c r="AS57" s="895"/>
      <c r="AT57" s="895"/>
      <c r="AU57" s="895">
        <f>23/26</f>
        <v>0.88461538461538458</v>
      </c>
      <c r="AV57" s="895"/>
      <c r="AW57" s="895"/>
      <c r="AX57" s="939"/>
      <c r="AY57" s="368" t="str">
        <f t="shared" si="1"/>
        <v>5.14.3</v>
      </c>
      <c r="AZ57" s="896" t="s">
        <v>983</v>
      </c>
      <c r="BA57" s="891" t="s">
        <v>1276</v>
      </c>
      <c r="BB57" s="891" t="s">
        <v>1461</v>
      </c>
      <c r="BC57" s="891" t="s">
        <v>1462</v>
      </c>
      <c r="BD57" s="897" t="s">
        <v>1502</v>
      </c>
      <c r="BE57" s="889" t="s">
        <v>1005</v>
      </c>
      <c r="BG57" s="435"/>
      <c r="BH57" s="435"/>
      <c r="BI57" s="435"/>
      <c r="BJ57" s="432"/>
    </row>
    <row r="58" spans="1:62" x14ac:dyDescent="0.2">
      <c r="E58" s="4"/>
      <c r="F58" s="4"/>
      <c r="G58" s="4"/>
      <c r="H58" s="4"/>
      <c r="I58" s="4"/>
      <c r="J58" s="364"/>
      <c r="K58" s="4"/>
      <c r="L58" s="4"/>
      <c r="M58" s="27"/>
      <c r="N58" s="27"/>
      <c r="O58" s="27"/>
      <c r="P58" s="4"/>
      <c r="Q58" s="27"/>
      <c r="R58" s="27"/>
      <c r="S58" s="27"/>
      <c r="T58" s="27"/>
      <c r="U58" s="27"/>
      <c r="V58" s="27"/>
      <c r="W58" s="27"/>
      <c r="X58" s="27"/>
      <c r="Y58" s="27"/>
      <c r="Z58" s="27"/>
      <c r="AA58" s="27"/>
      <c r="AB58" s="27"/>
      <c r="AC58" s="27"/>
      <c r="AD58" s="27"/>
      <c r="AE58" s="27"/>
      <c r="AF58" s="27"/>
      <c r="AG58" s="4"/>
      <c r="AH58" s="27"/>
      <c r="AI58" s="27"/>
      <c r="AJ58" s="27"/>
      <c r="AK58" s="27"/>
      <c r="AL58" s="27"/>
    </row>
    <row r="59" spans="1:62" ht="48" hidden="1" customHeight="1" x14ac:dyDescent="0.2">
      <c r="E59" s="386" t="s">
        <v>346</v>
      </c>
      <c r="F59" s="719" t="s">
        <v>347</v>
      </c>
      <c r="G59" s="719"/>
      <c r="H59" s="719"/>
      <c r="I59" s="719"/>
      <c r="J59" s="719"/>
      <c r="K59" s="719"/>
      <c r="L59" s="719"/>
      <c r="M59" s="719"/>
      <c r="N59" s="719"/>
      <c r="O59" s="88"/>
      <c r="P59" s="88"/>
      <c r="Q59" s="88"/>
      <c r="R59" s="88"/>
      <c r="S59" s="88"/>
      <c r="T59" s="88"/>
      <c r="U59" s="88"/>
      <c r="V59" s="88"/>
      <c r="W59" s="88"/>
      <c r="X59" s="88"/>
      <c r="Y59" s="88"/>
      <c r="Z59" s="88"/>
      <c r="AA59" s="88"/>
      <c r="AB59" s="88"/>
      <c r="AC59" s="88"/>
      <c r="AD59" s="88"/>
      <c r="AE59" s="88"/>
      <c r="AF59" s="301"/>
      <c r="AG59" s="88"/>
      <c r="AH59" s="88"/>
      <c r="AI59" s="88"/>
      <c r="AJ59" s="88"/>
      <c r="AK59" s="88"/>
      <c r="AL59" s="88"/>
    </row>
    <row r="60" spans="1:62" ht="45.75" hidden="1" customHeight="1" x14ac:dyDescent="0.2">
      <c r="E60" s="386" t="s">
        <v>348</v>
      </c>
      <c r="F60" s="719" t="s">
        <v>349</v>
      </c>
      <c r="G60" s="719"/>
      <c r="H60" s="719"/>
      <c r="I60" s="719"/>
      <c r="J60" s="719"/>
      <c r="K60" s="719"/>
      <c r="L60" s="719"/>
      <c r="M60" s="719"/>
      <c r="N60" s="719"/>
      <c r="O60" s="88"/>
      <c r="P60" s="88"/>
      <c r="Q60" s="88"/>
      <c r="R60" s="88"/>
      <c r="S60" s="88"/>
      <c r="T60" s="88"/>
      <c r="U60" s="88"/>
      <c r="V60" s="88"/>
      <c r="W60" s="88"/>
      <c r="X60" s="88"/>
      <c r="Y60" s="88"/>
      <c r="Z60" s="88"/>
      <c r="AA60" s="88"/>
      <c r="AB60" s="88"/>
      <c r="AC60" s="88"/>
      <c r="AD60" s="88"/>
      <c r="AE60" s="88"/>
      <c r="AF60" s="88"/>
      <c r="AG60" s="88"/>
      <c r="AH60" s="88"/>
      <c r="AI60" s="88"/>
      <c r="AJ60" s="88"/>
      <c r="AK60" s="88"/>
      <c r="AL60" s="88"/>
    </row>
    <row r="61" spans="1:62" ht="30.75" hidden="1" customHeight="1" x14ac:dyDescent="0.2">
      <c r="E61" s="720" t="s">
        <v>350</v>
      </c>
      <c r="F61" s="719" t="s">
        <v>108</v>
      </c>
      <c r="G61" s="719"/>
      <c r="H61" s="719"/>
      <c r="I61" s="719"/>
      <c r="J61" s="719"/>
      <c r="K61" s="719"/>
      <c r="L61" s="719"/>
      <c r="M61" s="719"/>
      <c r="N61" s="719"/>
      <c r="O61" s="88"/>
      <c r="P61" s="88"/>
      <c r="Q61" s="88"/>
      <c r="R61" s="88"/>
      <c r="S61" s="88"/>
      <c r="T61" s="88"/>
      <c r="U61" s="88"/>
      <c r="V61" s="88"/>
      <c r="W61" s="88"/>
      <c r="X61" s="88"/>
      <c r="Y61" s="88"/>
      <c r="Z61" s="88"/>
      <c r="AA61" s="88"/>
      <c r="AB61" s="88"/>
      <c r="AC61" s="88"/>
      <c r="AD61" s="88"/>
      <c r="AE61" s="88"/>
      <c r="AF61" s="88"/>
      <c r="AG61" s="88"/>
      <c r="AH61" s="88"/>
      <c r="AI61" s="88"/>
      <c r="AJ61" s="88"/>
      <c r="AK61" s="88"/>
      <c r="AL61" s="88"/>
    </row>
    <row r="62" spans="1:62" ht="30.75" hidden="1" customHeight="1" x14ac:dyDescent="0.2">
      <c r="E62" s="720"/>
      <c r="F62" s="719" t="s">
        <v>94</v>
      </c>
      <c r="G62" s="719"/>
      <c r="H62" s="719"/>
      <c r="I62" s="719"/>
      <c r="J62" s="719"/>
      <c r="K62" s="719"/>
      <c r="L62" s="719"/>
      <c r="M62" s="719"/>
      <c r="N62" s="719"/>
      <c r="O62" s="88"/>
      <c r="P62" s="88"/>
      <c r="Q62" s="88"/>
      <c r="R62" s="88"/>
      <c r="S62" s="88"/>
      <c r="T62" s="88"/>
      <c r="U62" s="88"/>
      <c r="V62" s="88"/>
      <c r="W62" s="88"/>
      <c r="X62" s="88"/>
      <c r="Y62" s="88"/>
      <c r="Z62" s="88"/>
      <c r="AA62" s="88"/>
      <c r="AB62" s="88"/>
      <c r="AC62" s="88"/>
      <c r="AD62" s="88"/>
      <c r="AE62" s="88"/>
      <c r="AF62" s="88"/>
      <c r="AG62" s="88"/>
      <c r="AH62" s="88"/>
      <c r="AI62" s="88"/>
      <c r="AJ62" s="88"/>
      <c r="AK62" s="88"/>
      <c r="AL62" s="88"/>
    </row>
    <row r="63" spans="1:62" ht="30.75" hidden="1" customHeight="1" x14ac:dyDescent="0.2">
      <c r="E63" s="720"/>
      <c r="F63" s="719" t="s">
        <v>183</v>
      </c>
      <c r="G63" s="719"/>
      <c r="H63" s="719"/>
      <c r="I63" s="719"/>
      <c r="J63" s="719"/>
      <c r="K63" s="719"/>
      <c r="L63" s="719"/>
      <c r="M63" s="719"/>
      <c r="N63" s="719"/>
      <c r="O63" s="88"/>
      <c r="P63" s="88"/>
      <c r="Q63" s="88"/>
      <c r="R63" s="88"/>
      <c r="S63" s="88"/>
      <c r="T63" s="88"/>
      <c r="U63" s="88"/>
      <c r="V63" s="88"/>
      <c r="W63" s="88"/>
      <c r="X63" s="88"/>
      <c r="Y63" s="88"/>
      <c r="Z63" s="88"/>
      <c r="AA63" s="88"/>
      <c r="AB63" s="88"/>
      <c r="AC63" s="88"/>
      <c r="AD63" s="88"/>
      <c r="AE63" s="88"/>
      <c r="AF63" s="88"/>
      <c r="AG63" s="88"/>
      <c r="AH63" s="88"/>
      <c r="AI63" s="88"/>
      <c r="AJ63" s="88"/>
      <c r="AK63" s="88"/>
      <c r="AL63" s="88"/>
    </row>
    <row r="64" spans="1:62" ht="30.75" hidden="1" customHeight="1" x14ac:dyDescent="0.2">
      <c r="E64" s="720"/>
      <c r="F64" s="719" t="s">
        <v>351</v>
      </c>
      <c r="G64" s="719"/>
      <c r="H64" s="719"/>
      <c r="I64" s="719"/>
      <c r="J64" s="719"/>
      <c r="K64" s="719"/>
      <c r="L64" s="719"/>
      <c r="M64" s="719"/>
      <c r="N64" s="719"/>
      <c r="O64" s="88"/>
      <c r="P64" s="88"/>
      <c r="Q64" s="88"/>
      <c r="R64" s="88"/>
      <c r="S64" s="88"/>
      <c r="T64" s="88"/>
      <c r="U64" s="88"/>
      <c r="V64" s="88"/>
      <c r="W64" s="88"/>
      <c r="X64" s="88"/>
      <c r="Y64" s="88"/>
      <c r="Z64" s="88"/>
      <c r="AA64" s="88"/>
      <c r="AB64" s="88"/>
      <c r="AC64" s="88"/>
      <c r="AD64" s="88"/>
      <c r="AE64" s="88"/>
      <c r="AF64" s="88"/>
      <c r="AG64" s="88"/>
      <c r="AH64" s="88"/>
      <c r="AI64" s="88"/>
      <c r="AJ64" s="88"/>
      <c r="AK64" s="88"/>
      <c r="AL64" s="88"/>
    </row>
    <row r="65" spans="5:38" ht="30.75" hidden="1" customHeight="1" x14ac:dyDescent="0.2">
      <c r="E65" s="720"/>
      <c r="F65" s="719" t="s">
        <v>34</v>
      </c>
      <c r="G65" s="719"/>
      <c r="H65" s="719"/>
      <c r="I65" s="719"/>
      <c r="J65" s="719"/>
      <c r="K65" s="719"/>
      <c r="L65" s="719"/>
      <c r="M65" s="719"/>
      <c r="N65" s="719"/>
      <c r="O65" s="88"/>
      <c r="P65" s="88"/>
      <c r="Q65" s="88"/>
      <c r="R65" s="88"/>
      <c r="S65" s="88"/>
      <c r="T65" s="88"/>
      <c r="U65" s="88"/>
      <c r="V65" s="88"/>
      <c r="W65" s="88"/>
      <c r="X65" s="88"/>
      <c r="Y65" s="88"/>
      <c r="Z65" s="88"/>
      <c r="AA65" s="88"/>
      <c r="AB65" s="88"/>
      <c r="AC65" s="88"/>
      <c r="AD65" s="88"/>
      <c r="AE65" s="88"/>
      <c r="AF65" s="88"/>
      <c r="AG65" s="88"/>
      <c r="AH65" s="88"/>
      <c r="AI65" s="88"/>
      <c r="AJ65" s="88"/>
      <c r="AK65" s="88"/>
      <c r="AL65" s="88"/>
    </row>
    <row r="66" spans="5:38" ht="19.5" hidden="1" customHeight="1" x14ac:dyDescent="0.2">
      <c r="E66" s="89"/>
      <c r="F66" s="3"/>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row>
    <row r="67" spans="5:38" x14ac:dyDescent="0.2"/>
  </sheetData>
  <autoFilter ref="A9:BJ57" xr:uid="{00000000-0009-0000-0000-000001000000}"/>
  <mergeCells count="214">
    <mergeCell ref="BD8:BD9"/>
    <mergeCell ref="BE8:BE9"/>
    <mergeCell ref="AU57:AX57"/>
    <mergeCell ref="AM52:AR52"/>
    <mergeCell ref="AP53:AR53"/>
    <mergeCell ref="AP55:AR55"/>
    <mergeCell ref="AM39:AO39"/>
    <mergeCell ref="AP39:AR39"/>
    <mergeCell ref="AM41:AO41"/>
    <mergeCell ref="AP41:AR41"/>
    <mergeCell ref="AM49:AO49"/>
    <mergeCell ref="AP49:AR49"/>
    <mergeCell ref="AP46:AR46"/>
    <mergeCell ref="AP47:AR47"/>
    <mergeCell ref="AP48:AR48"/>
    <mergeCell ref="AS51:AU51"/>
    <mergeCell ref="AV51:AX51"/>
    <mergeCell ref="AS53:AU53"/>
    <mergeCell ref="AV53:AX53"/>
    <mergeCell ref="AS55:AU55"/>
    <mergeCell ref="AV55:AX55"/>
    <mergeCell ref="AQ56:AT56"/>
    <mergeCell ref="AS52:AX52"/>
    <mergeCell ref="AM56:AP56"/>
    <mergeCell ref="AU56:AX56"/>
    <mergeCell ref="AS42:AU42"/>
    <mergeCell ref="AS37:AU37"/>
    <mergeCell ref="AV37:AX37"/>
    <mergeCell ref="AS40:AU40"/>
    <mergeCell ref="AV40:AX40"/>
    <mergeCell ref="AS32:AU32"/>
    <mergeCell ref="AS38:AU38"/>
    <mergeCell ref="AS39:AU39"/>
    <mergeCell ref="AS33:AU33"/>
    <mergeCell ref="AS34:AU34"/>
    <mergeCell ref="AS35:AU35"/>
    <mergeCell ref="AP20:AR20"/>
    <mergeCell ref="AP21:AR21"/>
    <mergeCell ref="AP22:AR22"/>
    <mergeCell ref="AP23:AR23"/>
    <mergeCell ref="AP24:AR24"/>
    <mergeCell ref="AV42:AX42"/>
    <mergeCell ref="AS46:AU46"/>
    <mergeCell ref="AV46:AX46"/>
    <mergeCell ref="AS47:AU47"/>
    <mergeCell ref="AV47:AX47"/>
    <mergeCell ref="AS25:AU25"/>
    <mergeCell ref="AV25:AX25"/>
    <mergeCell ref="AS26:AU26"/>
    <mergeCell ref="AV26:AX26"/>
    <mergeCell ref="AS27:AU27"/>
    <mergeCell ref="AV27:AX27"/>
    <mergeCell ref="AS28:AU28"/>
    <mergeCell ref="AV28:AX28"/>
    <mergeCell ref="AS29:AU29"/>
    <mergeCell ref="AV29:AX29"/>
    <mergeCell ref="AS30:AU30"/>
    <mergeCell ref="AV30:AX30"/>
    <mergeCell ref="AS31:AU31"/>
    <mergeCell ref="AV31:AX31"/>
    <mergeCell ref="AV22:AX22"/>
    <mergeCell ref="AS23:AU23"/>
    <mergeCell ref="AV23:AX23"/>
    <mergeCell ref="AS24:AU24"/>
    <mergeCell ref="AV24:AX24"/>
    <mergeCell ref="AP26:AR26"/>
    <mergeCell ref="AP27:AR27"/>
    <mergeCell ref="AP28:AR28"/>
    <mergeCell ref="AP29:AR29"/>
    <mergeCell ref="AP38:AR38"/>
    <mergeCell ref="AS49:AU49"/>
    <mergeCell ref="AS41:AU41"/>
    <mergeCell ref="AP51:AR51"/>
    <mergeCell ref="AS15:AU15"/>
    <mergeCell ref="AV15:AX15"/>
    <mergeCell ref="AS16:AU16"/>
    <mergeCell ref="AV16:AX16"/>
    <mergeCell ref="AS17:AU17"/>
    <mergeCell ref="AV17:AX17"/>
    <mergeCell ref="AS18:AU18"/>
    <mergeCell ref="AV18:AX18"/>
    <mergeCell ref="AS19:AU19"/>
    <mergeCell ref="AV19:AX19"/>
    <mergeCell ref="AP50:AR50"/>
    <mergeCell ref="AS48:AU48"/>
    <mergeCell ref="AV48:AX48"/>
    <mergeCell ref="AS50:AU50"/>
    <mergeCell ref="AV50:AX50"/>
    <mergeCell ref="AS20:AU20"/>
    <mergeCell ref="AV20:AX20"/>
    <mergeCell ref="AS21:AU21"/>
    <mergeCell ref="AV21:AX21"/>
    <mergeCell ref="AS22:AU22"/>
    <mergeCell ref="AV11:AX11"/>
    <mergeCell ref="AS13:AU13"/>
    <mergeCell ref="AV13:AX13"/>
    <mergeCell ref="AS14:AU14"/>
    <mergeCell ref="AM57:AP57"/>
    <mergeCell ref="AP30:AR30"/>
    <mergeCell ref="AP31:AR31"/>
    <mergeCell ref="AP37:AR37"/>
    <mergeCell ref="AP40:AR40"/>
    <mergeCell ref="AP42:AR42"/>
    <mergeCell ref="AM48:AO48"/>
    <mergeCell ref="AM50:AO50"/>
    <mergeCell ref="AM51:AO51"/>
    <mergeCell ref="AM53:AO53"/>
    <mergeCell ref="AQ57:AT57"/>
    <mergeCell ref="AM32:AO32"/>
    <mergeCell ref="AP32:AR32"/>
    <mergeCell ref="AM33:AO33"/>
    <mergeCell ref="AP33:AR33"/>
    <mergeCell ref="AM34:AO34"/>
    <mergeCell ref="AP34:AR34"/>
    <mergeCell ref="AM35:AO35"/>
    <mergeCell ref="AP35:AR35"/>
    <mergeCell ref="AM38:AO38"/>
    <mergeCell ref="T8:T9"/>
    <mergeCell ref="AM16:AO16"/>
    <mergeCell ref="AM17:AO17"/>
    <mergeCell ref="S8:S9"/>
    <mergeCell ref="AP25:AR25"/>
    <mergeCell ref="BG8:BJ8"/>
    <mergeCell ref="V8:V9"/>
    <mergeCell ref="W8:Z8"/>
    <mergeCell ref="AA8:AD8"/>
    <mergeCell ref="U8:U9"/>
    <mergeCell ref="AM10:AO10"/>
    <mergeCell ref="AM15:AO15"/>
    <mergeCell ref="AL8:AL9"/>
    <mergeCell ref="AK8:AK9"/>
    <mergeCell ref="AH8:AH9"/>
    <mergeCell ref="AI8:AI9"/>
    <mergeCell ref="AM8:AX8"/>
    <mergeCell ref="AM13:AO13"/>
    <mergeCell ref="AP13:AR13"/>
    <mergeCell ref="AM14:AO14"/>
    <mergeCell ref="AP14:AR14"/>
    <mergeCell ref="AS10:AU10"/>
    <mergeCell ref="AV10:AX10"/>
    <mergeCell ref="AS11:AU11"/>
    <mergeCell ref="F59:N59"/>
    <mergeCell ref="F60:N60"/>
    <mergeCell ref="E61:E65"/>
    <mergeCell ref="F61:N61"/>
    <mergeCell ref="F62:N62"/>
    <mergeCell ref="F63:N63"/>
    <mergeCell ref="F64:N64"/>
    <mergeCell ref="F65:N65"/>
    <mergeCell ref="H8:H9"/>
    <mergeCell ref="I8:I9"/>
    <mergeCell ref="J8:J9"/>
    <mergeCell ref="K8:K9"/>
    <mergeCell ref="F8:F9"/>
    <mergeCell ref="G8:G9"/>
    <mergeCell ref="M8:M9"/>
    <mergeCell ref="N8:N9"/>
    <mergeCell ref="AM55:AO55"/>
    <mergeCell ref="AM29:AO29"/>
    <mergeCell ref="AM30:AO30"/>
    <mergeCell ref="AM31:AO31"/>
    <mergeCell ref="AM37:AO37"/>
    <mergeCell ref="AM40:AO40"/>
    <mergeCell ref="AM42:AO42"/>
    <mergeCell ref="AM46:AO46"/>
    <mergeCell ref="AM47:AO47"/>
    <mergeCell ref="AV49:AX49"/>
    <mergeCell ref="AV14:AX14"/>
    <mergeCell ref="AY8:AY9"/>
    <mergeCell ref="B2:AL2"/>
    <mergeCell ref="C4:Q4"/>
    <mergeCell ref="J6:AL6"/>
    <mergeCell ref="A6:I6"/>
    <mergeCell ref="AM27:AO27"/>
    <mergeCell ref="AM28:AO28"/>
    <mergeCell ref="A8:A9"/>
    <mergeCell ref="B8:B9"/>
    <mergeCell ref="C8:C9"/>
    <mergeCell ref="D8:D9"/>
    <mergeCell ref="E8:E9"/>
    <mergeCell ref="O8:O9"/>
    <mergeCell ref="P8:P9"/>
    <mergeCell ref="Q8:Q9"/>
    <mergeCell ref="AM26:AO26"/>
    <mergeCell ref="AM22:AO22"/>
    <mergeCell ref="AM23:AO23"/>
    <mergeCell ref="AM24:AO24"/>
    <mergeCell ref="AM25:AO25"/>
    <mergeCell ref="AM18:AO18"/>
    <mergeCell ref="AM19:AO19"/>
    <mergeCell ref="A1:AX1"/>
    <mergeCell ref="AY1:BE1"/>
    <mergeCell ref="AV32:AX32"/>
    <mergeCell ref="AV33:AX33"/>
    <mergeCell ref="AV34:AX34"/>
    <mergeCell ref="AV35:AX35"/>
    <mergeCell ref="AV38:AX38"/>
    <mergeCell ref="AV39:AX39"/>
    <mergeCell ref="AV41:AX41"/>
    <mergeCell ref="AM20:AO20"/>
    <mergeCell ref="AM21:AO21"/>
    <mergeCell ref="AP11:AR11"/>
    <mergeCell ref="AP15:AR15"/>
    <mergeCell ref="AP16:AR16"/>
    <mergeCell ref="AP17:AR17"/>
    <mergeCell ref="AP18:AR18"/>
    <mergeCell ref="AP19:AR19"/>
    <mergeCell ref="AM11:AO11"/>
    <mergeCell ref="AP10:AR10"/>
    <mergeCell ref="AJ8:AJ9"/>
    <mergeCell ref="R8:R9"/>
    <mergeCell ref="AE8:AE9"/>
    <mergeCell ref="AF8:AF9"/>
    <mergeCell ref="AG8:AG9"/>
  </mergeCells>
  <phoneticPr fontId="44" type="noConversion"/>
  <printOptions horizontalCentered="1"/>
  <pageMargins left="0.11811023622047245" right="0.11811023622047245" top="0.27559055118110237" bottom="0.23" header="0.19685039370078741" footer="7.874015748031496E-2"/>
  <pageSetup scale="55" pageOrder="overThenDown" orientation="landscape" horizontalDpi="300" verticalDpi="300" r:id="rId1"/>
  <colBreaks count="1" manualBreakCount="1">
    <brk id="50" max="65" man="1"/>
  </colBreaks>
  <drawing r:id="rId2"/>
  <extLst>
    <ext xmlns:x14="http://schemas.microsoft.com/office/spreadsheetml/2009/9/main" uri="{78C0D931-6437-407d-A8EE-F0AAD7539E65}">
      <x14:conditionalFormattings>
        <x14:conditionalFormatting xmlns:xm="http://schemas.microsoft.com/office/excel/2006/main">
          <x14:cfRule type="cellIs" priority="1" stopIfTrue="1" operator="equal" id="{198B8B4E-8B6F-44C8-AE4C-E4151DC74C00}">
            <xm:f>Resultados!$B$14</xm:f>
            <x14:dxf>
              <fill>
                <patternFill>
                  <bgColor rgb="FFFF0000"/>
                </patternFill>
              </fill>
            </x14:dxf>
          </x14:cfRule>
          <x14:cfRule type="cellIs" priority="2" operator="equal" id="{887F2563-33E3-45E1-A46A-8944246382B6}">
            <xm:f>Resultados!$B$13</xm:f>
            <x14:dxf>
              <fill>
                <patternFill>
                  <bgColor rgb="FFFFFF00"/>
                </patternFill>
              </fill>
            </x14:dxf>
          </x14:cfRule>
          <x14:cfRule type="cellIs" priority="3" operator="equal" id="{BF77B539-EF0F-4589-99E1-BF6390716B65}">
            <xm:f>Resultados!$B$12</xm:f>
            <x14:dxf>
              <fill>
                <patternFill>
                  <bgColor rgb="FF92D050"/>
                </patternFill>
              </fill>
            </x14:dxf>
          </x14:cfRule>
          <x14:cfRule type="cellIs" priority="4" operator="equal" id="{9154B524-F9A0-43F1-992D-B2FBF35B61F4}">
            <xm:f>Resultados!$B$11</xm:f>
            <x14:dxf>
              <fill>
                <patternFill>
                  <bgColor rgb="FF00B050"/>
                </patternFill>
              </fill>
            </x14:dxf>
          </x14:cfRule>
          <xm:sqref>BE10:BE57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E170EF4-3852-4B95-986A-098E3E8F85AB}">
          <x14:formula1>
            <xm:f>Resultados!$B$11:$B$14</xm:f>
          </x14:formula1>
          <xm:sqref>BE10:BE57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19"/>
  <sheetViews>
    <sheetView workbookViewId="0">
      <selection activeCell="H3" sqref="H3"/>
    </sheetView>
  </sheetViews>
  <sheetFormatPr baseColWidth="10" defaultColWidth="2.42578125" defaultRowHeight="11.25" x14ac:dyDescent="0.2"/>
  <cols>
    <col min="1" max="1" width="2.42578125" style="380"/>
    <col min="2" max="2" width="20.7109375" style="380" bestFit="1" customWidth="1"/>
    <col min="3" max="19" width="7.7109375" style="380" customWidth="1"/>
    <col min="20" max="16384" width="2.42578125" style="380"/>
  </cols>
  <sheetData>
    <row r="2" spans="2:19" x14ac:dyDescent="0.2">
      <c r="B2" s="380" t="s">
        <v>854</v>
      </c>
      <c r="C2" s="380" t="s">
        <v>397</v>
      </c>
      <c r="D2" s="380" t="s">
        <v>855</v>
      </c>
      <c r="E2" s="380" t="s">
        <v>856</v>
      </c>
      <c r="F2" s="380" t="s">
        <v>857</v>
      </c>
      <c r="G2" s="380" t="s">
        <v>858</v>
      </c>
      <c r="H2" s="380" t="s">
        <v>946</v>
      </c>
      <c r="I2" s="380" t="s">
        <v>939</v>
      </c>
      <c r="J2" s="380" t="s">
        <v>859</v>
      </c>
      <c r="K2" s="380" t="s">
        <v>860</v>
      </c>
      <c r="L2" s="380" t="s">
        <v>861</v>
      </c>
      <c r="M2" s="380" t="s">
        <v>521</v>
      </c>
      <c r="N2" s="380" t="s">
        <v>862</v>
      </c>
      <c r="O2" s="380" t="s">
        <v>863</v>
      </c>
      <c r="P2" s="380" t="s">
        <v>864</v>
      </c>
      <c r="Q2" s="380" t="s">
        <v>865</v>
      </c>
      <c r="R2" s="380" t="s">
        <v>866</v>
      </c>
      <c r="S2" s="380" t="s">
        <v>867</v>
      </c>
    </row>
    <row r="3" spans="2:19" x14ac:dyDescent="0.2">
      <c r="B3" s="380" t="s">
        <v>397</v>
      </c>
      <c r="C3" s="380" t="s">
        <v>785</v>
      </c>
      <c r="D3" s="380" t="s">
        <v>794</v>
      </c>
      <c r="E3" s="380" t="s">
        <v>816</v>
      </c>
      <c r="F3" s="380" t="s">
        <v>818</v>
      </c>
      <c r="G3" s="380" t="s">
        <v>820</v>
      </c>
      <c r="H3" s="380" t="s">
        <v>975</v>
      </c>
      <c r="I3" s="380" t="s">
        <v>1160</v>
      </c>
      <c r="J3" s="380" t="s">
        <v>786</v>
      </c>
      <c r="K3" s="380" t="s">
        <v>822</v>
      </c>
      <c r="L3" s="380" t="s">
        <v>824</v>
      </c>
      <c r="M3" s="380" t="s">
        <v>826</v>
      </c>
      <c r="N3" s="380" t="s">
        <v>831</v>
      </c>
      <c r="O3" s="380" t="s">
        <v>823</v>
      </c>
      <c r="P3" s="380" t="s">
        <v>832</v>
      </c>
      <c r="Q3" s="380" t="s">
        <v>838</v>
      </c>
      <c r="R3" s="380" t="s">
        <v>843</v>
      </c>
      <c r="S3" s="380" t="s">
        <v>845</v>
      </c>
    </row>
    <row r="4" spans="2:19" x14ac:dyDescent="0.2">
      <c r="B4" s="380" t="s">
        <v>855</v>
      </c>
      <c r="C4" s="380" t="s">
        <v>788</v>
      </c>
      <c r="D4" s="380" t="s">
        <v>795</v>
      </c>
      <c r="E4" s="380" t="s">
        <v>817</v>
      </c>
      <c r="F4" s="380" t="s">
        <v>819</v>
      </c>
      <c r="G4" s="380" t="s">
        <v>821</v>
      </c>
      <c r="J4" s="380" t="s">
        <v>827</v>
      </c>
      <c r="L4" s="380" t="s">
        <v>825</v>
      </c>
      <c r="M4" s="380" t="s">
        <v>1158</v>
      </c>
      <c r="P4" s="380" t="s">
        <v>833</v>
      </c>
      <c r="Q4" s="380" t="s">
        <v>840</v>
      </c>
      <c r="R4" s="380" t="s">
        <v>844</v>
      </c>
      <c r="S4" s="380" t="s">
        <v>846</v>
      </c>
    </row>
    <row r="5" spans="2:19" x14ac:dyDescent="0.2">
      <c r="B5" s="380" t="s">
        <v>856</v>
      </c>
      <c r="C5" s="380" t="s">
        <v>789</v>
      </c>
      <c r="D5" s="380" t="s">
        <v>812</v>
      </c>
      <c r="J5" s="380" t="s">
        <v>828</v>
      </c>
      <c r="M5" s="380" t="s">
        <v>1159</v>
      </c>
      <c r="P5" s="380" t="s">
        <v>834</v>
      </c>
      <c r="Q5" s="380" t="s">
        <v>841</v>
      </c>
      <c r="S5" s="380" t="s">
        <v>847</v>
      </c>
    </row>
    <row r="6" spans="2:19" x14ac:dyDescent="0.2">
      <c r="B6" s="380" t="s">
        <v>857</v>
      </c>
      <c r="C6" s="380" t="s">
        <v>790</v>
      </c>
      <c r="D6" s="380" t="s">
        <v>813</v>
      </c>
      <c r="J6" s="380" t="s">
        <v>829</v>
      </c>
      <c r="P6" s="380" t="s">
        <v>835</v>
      </c>
      <c r="Q6" s="380" t="s">
        <v>842</v>
      </c>
    </row>
    <row r="7" spans="2:19" x14ac:dyDescent="0.2">
      <c r="B7" s="380" t="s">
        <v>858</v>
      </c>
      <c r="C7" s="380" t="s">
        <v>792</v>
      </c>
      <c r="D7" s="380" t="s">
        <v>814</v>
      </c>
      <c r="J7" s="380" t="s">
        <v>830</v>
      </c>
      <c r="P7" s="380" t="s">
        <v>836</v>
      </c>
    </row>
    <row r="8" spans="2:19" x14ac:dyDescent="0.2">
      <c r="B8" s="380" t="s">
        <v>946</v>
      </c>
      <c r="D8" s="380" t="s">
        <v>815</v>
      </c>
      <c r="P8" s="380" t="s">
        <v>837</v>
      </c>
    </row>
    <row r="9" spans="2:19" x14ac:dyDescent="0.2">
      <c r="B9" s="380" t="s">
        <v>939</v>
      </c>
      <c r="P9" s="380" t="s">
        <v>839</v>
      </c>
    </row>
    <row r="10" spans="2:19" x14ac:dyDescent="0.2">
      <c r="B10" s="380" t="s">
        <v>859</v>
      </c>
    </row>
    <row r="11" spans="2:19" x14ac:dyDescent="0.2">
      <c r="B11" s="380" t="s">
        <v>860</v>
      </c>
    </row>
    <row r="12" spans="2:19" x14ac:dyDescent="0.2">
      <c r="B12" s="380" t="s">
        <v>861</v>
      </c>
    </row>
    <row r="13" spans="2:19" x14ac:dyDescent="0.2">
      <c r="B13" s="380" t="s">
        <v>521</v>
      </c>
    </row>
    <row r="14" spans="2:19" x14ac:dyDescent="0.2">
      <c r="B14" s="380" t="s">
        <v>862</v>
      </c>
    </row>
    <row r="15" spans="2:19" x14ac:dyDescent="0.2">
      <c r="B15" s="380" t="s">
        <v>863</v>
      </c>
    </row>
    <row r="16" spans="2:19" x14ac:dyDescent="0.2">
      <c r="B16" s="380" t="s">
        <v>864</v>
      </c>
    </row>
    <row r="17" spans="2:2" x14ac:dyDescent="0.2">
      <c r="B17" s="380" t="s">
        <v>865</v>
      </c>
    </row>
    <row r="18" spans="2:2" x14ac:dyDescent="0.2">
      <c r="B18" s="380" t="s">
        <v>866</v>
      </c>
    </row>
    <row r="19" spans="2:2" x14ac:dyDescent="0.2">
      <c r="B19" s="380" t="s">
        <v>867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38F98-9A93-409E-ACD9-AEA981606875}">
  <sheetPr>
    <pageSetUpPr fitToPage="1"/>
  </sheetPr>
  <dimension ref="A1:O47"/>
  <sheetViews>
    <sheetView showGridLines="0" zoomScale="80" zoomScaleNormal="80" zoomScaleSheetLayoutView="80" workbookViewId="0">
      <selection sqref="A1:B1"/>
    </sheetView>
  </sheetViews>
  <sheetFormatPr baseColWidth="10" defaultColWidth="0" defaultRowHeight="12.75" customHeight="1" zeroHeight="1" x14ac:dyDescent="0.2"/>
  <cols>
    <col min="1" max="1" width="6.28515625" style="1" customWidth="1"/>
    <col min="2" max="2" width="20.140625" style="1" customWidth="1"/>
    <col min="3" max="14" width="16" style="1" customWidth="1"/>
    <col min="15" max="15" width="1.7109375" style="1" customWidth="1"/>
    <col min="16" max="16384" width="11.42578125" style="1" hidden="1"/>
  </cols>
  <sheetData>
    <row r="1" spans="1:14" ht="63" customHeight="1" thickBot="1" x14ac:dyDescent="0.25">
      <c r="A1" s="725"/>
      <c r="B1" s="726"/>
      <c r="C1" s="727" t="s">
        <v>1162</v>
      </c>
      <c r="D1" s="727"/>
      <c r="E1" s="727"/>
      <c r="F1" s="727"/>
      <c r="G1" s="727"/>
      <c r="H1" s="727"/>
      <c r="I1" s="727"/>
      <c r="J1" s="727"/>
      <c r="K1" s="727"/>
      <c r="L1" s="727"/>
      <c r="M1" s="726"/>
      <c r="N1" s="728"/>
    </row>
    <row r="2" spans="1:14" ht="7.5" customHeight="1" thickBot="1" x14ac:dyDescent="0.25"/>
    <row r="3" spans="1:14" ht="40.5" customHeight="1" thickBot="1" x14ac:dyDescent="0.25">
      <c r="A3" s="729" t="s">
        <v>1163</v>
      </c>
      <c r="B3" s="730"/>
      <c r="C3" s="731"/>
      <c r="D3" s="732"/>
      <c r="E3" s="443"/>
      <c r="F3" s="444" t="s">
        <v>783</v>
      </c>
      <c r="G3" s="445"/>
      <c r="I3" s="446" t="s">
        <v>1164</v>
      </c>
      <c r="J3" s="733" t="str">
        <f>IF(G3="","",D16)</f>
        <v/>
      </c>
      <c r="K3" s="733"/>
      <c r="L3" s="733"/>
      <c r="M3" s="733"/>
      <c r="N3" s="734"/>
    </row>
    <row r="4" spans="1:14" ht="7.5" customHeight="1" thickBot="1" x14ac:dyDescent="0.25">
      <c r="A4" s="381"/>
      <c r="B4" s="381"/>
      <c r="C4" s="365"/>
      <c r="D4" s="365"/>
      <c r="E4" s="443"/>
      <c r="F4" s="381"/>
      <c r="G4" s="365"/>
      <c r="I4" s="447"/>
      <c r="J4" s="448"/>
      <c r="K4" s="448"/>
      <c r="L4" s="448"/>
      <c r="M4" s="448"/>
      <c r="N4" s="448"/>
    </row>
    <row r="5" spans="1:14" ht="60.75" customHeight="1" thickBot="1" x14ac:dyDescent="0.25">
      <c r="A5" s="729" t="s">
        <v>1165</v>
      </c>
      <c r="B5" s="730"/>
      <c r="C5" s="733" t="str">
        <f>IF($G$3="","",VLOOKUP($G$3,'Matriz de seguimiento'!$A$10:$AL$57,37,FALSE))</f>
        <v/>
      </c>
      <c r="D5" s="733"/>
      <c r="E5" s="734"/>
      <c r="G5" s="735" t="s">
        <v>1166</v>
      </c>
      <c r="H5" s="736"/>
      <c r="I5" s="733" t="str">
        <f>IF($G$3="","",VLOOKUP($G$3,'Matriz de seguimiento'!$A$10:$AL$57,38,FALSE))</f>
        <v/>
      </c>
      <c r="J5" s="733"/>
      <c r="K5" s="733"/>
      <c r="L5" s="733"/>
      <c r="M5" s="733"/>
      <c r="N5" s="734"/>
    </row>
    <row r="6" spans="1:14" ht="7.5" customHeight="1" thickBot="1" x14ac:dyDescent="0.25"/>
    <row r="7" spans="1:14" ht="21.75" customHeight="1" thickBot="1" x14ac:dyDescent="0.25">
      <c r="A7" s="735" t="s">
        <v>1167</v>
      </c>
      <c r="B7" s="736"/>
      <c r="C7" s="736"/>
      <c r="D7" s="736"/>
      <c r="E7" s="736"/>
      <c r="F7" s="736"/>
      <c r="G7" s="736"/>
      <c r="H7" s="736"/>
      <c r="I7" s="736"/>
      <c r="J7" s="736"/>
      <c r="K7" s="736"/>
      <c r="L7" s="736"/>
      <c r="M7" s="736"/>
      <c r="N7" s="737"/>
    </row>
    <row r="8" spans="1:14" ht="7.5" customHeight="1" thickBot="1" x14ac:dyDescent="0.25">
      <c r="A8" s="440"/>
      <c r="B8" s="440"/>
      <c r="C8" s="440"/>
      <c r="D8" s="440"/>
      <c r="E8" s="440"/>
    </row>
    <row r="9" spans="1:14" ht="45.75" customHeight="1" x14ac:dyDescent="0.2">
      <c r="A9" s="644" t="s">
        <v>1168</v>
      </c>
      <c r="B9" s="634"/>
      <c r="C9" s="634"/>
      <c r="D9" s="645"/>
      <c r="E9" s="449"/>
      <c r="F9" s="644" t="s">
        <v>1169</v>
      </c>
      <c r="G9" s="634"/>
      <c r="H9" s="634"/>
      <c r="I9" s="645"/>
      <c r="K9" s="644" t="s">
        <v>1170</v>
      </c>
      <c r="L9" s="634"/>
      <c r="M9" s="634"/>
      <c r="N9" s="645"/>
    </row>
    <row r="10" spans="1:14" ht="151.5" customHeight="1" thickBot="1" x14ac:dyDescent="0.25">
      <c r="A10" s="738" t="str">
        <f>IF($G$3="","",VLOOKUP($G$3,'Matriz de seguimiento'!$A$10:$AL$57,2,FALSE))</f>
        <v/>
      </c>
      <c r="B10" s="739"/>
      <c r="C10" s="739"/>
      <c r="D10" s="740"/>
      <c r="E10" s="449"/>
      <c r="F10" s="738" t="str">
        <f>IF($G$3="","",VLOOKUP($G$3,'Matriz de seguimiento'!$A$10:$AL$57,3,FALSE))</f>
        <v/>
      </c>
      <c r="G10" s="739"/>
      <c r="H10" s="739"/>
      <c r="I10" s="740"/>
      <c r="K10" s="738" t="str">
        <f>IF($G$3="","",VLOOKUP($G$3,'Matriz de seguimiento'!$A$10:$AL$57,4,FALSE))</f>
        <v/>
      </c>
      <c r="L10" s="739"/>
      <c r="M10" s="739"/>
      <c r="N10" s="740"/>
    </row>
    <row r="11" spans="1:14" ht="7.5" customHeight="1" thickBot="1" x14ac:dyDescent="0.25">
      <c r="C11" s="449"/>
      <c r="D11" s="449"/>
      <c r="E11" s="449"/>
    </row>
    <row r="12" spans="1:14" ht="21.75" customHeight="1" thickBot="1" x14ac:dyDescent="0.25">
      <c r="A12" s="735" t="s">
        <v>1171</v>
      </c>
      <c r="B12" s="736"/>
      <c r="C12" s="736"/>
      <c r="D12" s="736"/>
      <c r="E12" s="736"/>
      <c r="F12" s="736"/>
      <c r="G12" s="736"/>
      <c r="H12" s="736"/>
      <c r="I12" s="736"/>
      <c r="J12" s="736"/>
      <c r="K12" s="736"/>
      <c r="L12" s="736"/>
      <c r="M12" s="736"/>
      <c r="N12" s="737"/>
    </row>
    <row r="13" spans="1:14" ht="7.5" customHeight="1" thickBot="1" x14ac:dyDescent="0.25">
      <c r="A13" s="440"/>
      <c r="B13" s="440"/>
      <c r="C13" s="440"/>
      <c r="D13" s="440"/>
      <c r="E13" s="440"/>
    </row>
    <row r="14" spans="1:14" ht="35.25" customHeight="1" x14ac:dyDescent="0.2">
      <c r="A14" s="644" t="s">
        <v>9</v>
      </c>
      <c r="B14" s="634"/>
      <c r="C14" s="645"/>
      <c r="D14" s="741" t="str">
        <f>IF($G$3="","",VLOOKUP($G$3,'Matriz de seguimiento'!$A$10:$AL$57,5,FALSE))</f>
        <v/>
      </c>
      <c r="E14" s="643"/>
      <c r="F14" s="643"/>
      <c r="G14" s="643"/>
      <c r="H14" s="643"/>
      <c r="I14" s="643"/>
      <c r="J14" s="643"/>
      <c r="K14" s="643"/>
      <c r="L14" s="643"/>
      <c r="M14" s="643"/>
      <c r="N14" s="648"/>
    </row>
    <row r="15" spans="1:14" ht="35.25" customHeight="1" x14ac:dyDescent="0.2">
      <c r="A15" s="742" t="s">
        <v>1172</v>
      </c>
      <c r="B15" s="743"/>
      <c r="C15" s="744"/>
      <c r="D15" s="745" t="str">
        <f>IF($G$3="","",VLOOKUP($G$3,'Matriz de seguimiento'!$A$10:$AL$57,6,FALSE))</f>
        <v/>
      </c>
      <c r="E15" s="611"/>
      <c r="F15" s="611"/>
      <c r="G15" s="611"/>
      <c r="H15" s="611"/>
      <c r="I15" s="611"/>
      <c r="J15" s="611"/>
      <c r="K15" s="611"/>
      <c r="L15" s="611"/>
      <c r="M15" s="611"/>
      <c r="N15" s="619"/>
    </row>
    <row r="16" spans="1:14" ht="35.25" customHeight="1" thickBot="1" x14ac:dyDescent="0.25">
      <c r="A16" s="746" t="s">
        <v>14</v>
      </c>
      <c r="B16" s="635"/>
      <c r="C16" s="747"/>
      <c r="D16" s="748" t="str">
        <f>IF($G$3="","",VLOOKUP($G$3,'Matriz de seguimiento'!$A$10:$AL$57,12,FALSE))</f>
        <v/>
      </c>
      <c r="E16" s="675"/>
      <c r="F16" s="675"/>
      <c r="G16" s="675"/>
      <c r="H16" s="675"/>
      <c r="I16" s="675"/>
      <c r="J16" s="675"/>
      <c r="K16" s="675"/>
      <c r="L16" s="675"/>
      <c r="M16" s="675"/>
      <c r="N16" s="676"/>
    </row>
    <row r="17" spans="1:14" ht="7.5" customHeight="1" thickBot="1" x14ac:dyDescent="0.25"/>
    <row r="18" spans="1:14" ht="57.75" customHeight="1" x14ac:dyDescent="0.2">
      <c r="A18" s="644" t="s">
        <v>15</v>
      </c>
      <c r="B18" s="634"/>
      <c r="C18" s="645"/>
      <c r="D18" s="741" t="str">
        <f>IF($G$3="","",VLOOKUP($G$3,'Matriz de seguimiento'!$A$10:$AL$57,13,FALSE))</f>
        <v/>
      </c>
      <c r="E18" s="643"/>
      <c r="F18" s="643"/>
      <c r="G18" s="643"/>
      <c r="H18" s="643"/>
      <c r="I18" s="643"/>
      <c r="J18" s="643"/>
      <c r="K18" s="643"/>
      <c r="L18" s="643"/>
      <c r="M18" s="643"/>
      <c r="N18" s="648"/>
    </row>
    <row r="19" spans="1:14" ht="36" customHeight="1" x14ac:dyDescent="0.2">
      <c r="A19" s="742" t="s">
        <v>1173</v>
      </c>
      <c r="B19" s="743"/>
      <c r="C19" s="744"/>
      <c r="D19" s="745" t="str">
        <f>IF($G$3="","",VLOOKUP($G$3,'Matriz de seguimiento'!$A$10:$AL$57,14,FALSE))</f>
        <v/>
      </c>
      <c r="E19" s="611"/>
      <c r="F19" s="611"/>
      <c r="G19" s="611"/>
      <c r="H19" s="611"/>
      <c r="I19" s="611"/>
      <c r="J19" s="611"/>
      <c r="K19" s="611"/>
      <c r="L19" s="611"/>
      <c r="M19" s="611"/>
      <c r="N19" s="619"/>
    </row>
    <row r="20" spans="1:14" ht="36" customHeight="1" x14ac:dyDescent="0.2">
      <c r="A20" s="742" t="s">
        <v>1174</v>
      </c>
      <c r="B20" s="743"/>
      <c r="C20" s="744"/>
      <c r="D20" s="745" t="str">
        <f>IF($G$3="","",VLOOKUP($G$3,'Matriz de seguimiento'!$A$10:$AL$57,15,FALSE))</f>
        <v/>
      </c>
      <c r="E20" s="611"/>
      <c r="F20" s="611"/>
      <c r="G20" s="611"/>
      <c r="H20" s="611"/>
      <c r="I20" s="611"/>
      <c r="J20" s="611"/>
      <c r="K20" s="611"/>
      <c r="L20" s="611"/>
      <c r="M20" s="611"/>
      <c r="N20" s="619"/>
    </row>
    <row r="21" spans="1:14" ht="72" customHeight="1" x14ac:dyDescent="0.2">
      <c r="A21" s="742" t="s">
        <v>19</v>
      </c>
      <c r="B21" s="743"/>
      <c r="C21" s="744"/>
      <c r="D21" s="745" t="str">
        <f>IF($G$3="","",VLOOKUP($G$3,'Matriz de seguimiento'!$A$10:$AL$57,17,FALSE))</f>
        <v/>
      </c>
      <c r="E21" s="611"/>
      <c r="F21" s="611"/>
      <c r="G21" s="611"/>
      <c r="H21" s="611"/>
      <c r="I21" s="611"/>
      <c r="J21" s="611"/>
      <c r="K21" s="611"/>
      <c r="L21" s="611"/>
      <c r="M21" s="611"/>
      <c r="N21" s="619"/>
    </row>
    <row r="22" spans="1:14" ht="36" customHeight="1" x14ac:dyDescent="0.2">
      <c r="A22" s="742" t="s">
        <v>1175</v>
      </c>
      <c r="B22" s="743"/>
      <c r="C22" s="744"/>
      <c r="D22" s="745" t="str">
        <f>IF($G$3="","",VLOOKUP($G$3,'Matriz de seguimiento'!$A$10:$AL$57,16,FALSE))</f>
        <v/>
      </c>
      <c r="E22" s="611"/>
      <c r="F22" s="611"/>
      <c r="G22" s="611"/>
      <c r="H22" s="611"/>
      <c r="I22" s="611"/>
      <c r="J22" s="611"/>
      <c r="K22" s="611"/>
      <c r="L22" s="611"/>
      <c r="M22" s="611"/>
      <c r="N22" s="619"/>
    </row>
    <row r="23" spans="1:14" ht="36" customHeight="1" thickBot="1" x14ac:dyDescent="0.25">
      <c r="A23" s="746" t="s">
        <v>1176</v>
      </c>
      <c r="B23" s="635"/>
      <c r="C23" s="747"/>
      <c r="D23" s="745" t="str">
        <f>IF($G$3="","",VLOOKUP($G$3,'Matriz de seguimiento'!$A$10:$AL$57,18,FALSE))</f>
        <v/>
      </c>
      <c r="E23" s="611"/>
      <c r="F23" s="611"/>
      <c r="G23" s="611"/>
      <c r="H23" s="611"/>
      <c r="I23" s="611"/>
      <c r="J23" s="611"/>
      <c r="K23" s="611"/>
      <c r="L23" s="611"/>
      <c r="M23" s="611"/>
      <c r="N23" s="619"/>
    </row>
    <row r="24" spans="1:14" ht="7.5" customHeight="1" thickBot="1" x14ac:dyDescent="0.25">
      <c r="A24" s="381"/>
      <c r="B24" s="381"/>
      <c r="C24" s="381"/>
      <c r="D24" s="86"/>
      <c r="E24" s="86"/>
      <c r="F24" s="86"/>
      <c r="G24" s="86"/>
      <c r="H24" s="86"/>
      <c r="I24" s="86"/>
      <c r="J24" s="86"/>
      <c r="K24" s="86"/>
      <c r="L24" s="86"/>
      <c r="M24" s="86"/>
      <c r="N24" s="86"/>
    </row>
    <row r="25" spans="1:14" ht="67.5" customHeight="1" thickBot="1" x14ac:dyDescent="0.25">
      <c r="A25" s="751" t="s">
        <v>1177</v>
      </c>
      <c r="B25" s="752"/>
      <c r="C25" s="753"/>
      <c r="D25" s="754" t="str">
        <f>IF($G$3="","",VLOOKUP($G$3,'Matriz de seguimiento'!$A$10:$AL$57,31,FALSE))</f>
        <v/>
      </c>
      <c r="E25" s="755"/>
      <c r="F25" s="755"/>
      <c r="G25" s="755"/>
      <c r="H25" s="756"/>
      <c r="I25" s="757" t="s">
        <v>1187</v>
      </c>
      <c r="J25" s="758"/>
      <c r="K25" s="759" t="str">
        <f>IF($G$3="","",VLOOKUP($G$3,'Matriz de seguimiento'!$A$10:$AL$57,35,FALSE))</f>
        <v/>
      </c>
      <c r="L25" s="760"/>
      <c r="M25" s="760"/>
      <c r="N25" s="761"/>
    </row>
    <row r="26" spans="1:14" ht="7.5" customHeight="1" thickBot="1" x14ac:dyDescent="0.25"/>
    <row r="27" spans="1:14" ht="21.75" customHeight="1" thickBot="1" x14ac:dyDescent="0.25">
      <c r="A27" s="762" t="s">
        <v>1178</v>
      </c>
      <c r="B27" s="763"/>
      <c r="C27" s="763"/>
      <c r="D27" s="763"/>
      <c r="E27" s="763"/>
      <c r="F27" s="763"/>
      <c r="G27" s="763"/>
      <c r="H27" s="763"/>
      <c r="I27" s="763"/>
      <c r="J27" s="763"/>
      <c r="K27" s="763"/>
      <c r="L27" s="763"/>
      <c r="M27" s="763"/>
      <c r="N27" s="764"/>
    </row>
    <row r="28" spans="1:14" ht="7.5" customHeight="1" thickBot="1" x14ac:dyDescent="0.25">
      <c r="A28" s="440"/>
      <c r="B28" s="440"/>
      <c r="C28" s="440"/>
      <c r="D28" s="440"/>
      <c r="E28" s="440"/>
    </row>
    <row r="29" spans="1:14" s="453" customFormat="1" ht="27.75" customHeight="1" thickBot="1" x14ac:dyDescent="0.3">
      <c r="A29" s="765" t="s">
        <v>1179</v>
      </c>
      <c r="B29" s="766"/>
      <c r="C29" s="450" t="s">
        <v>715</v>
      </c>
      <c r="D29" s="451" t="s">
        <v>716</v>
      </c>
      <c r="E29" s="451" t="s">
        <v>717</v>
      </c>
      <c r="F29" s="451" t="s">
        <v>718</v>
      </c>
      <c r="G29" s="451" t="s">
        <v>719</v>
      </c>
      <c r="H29" s="451" t="s">
        <v>720</v>
      </c>
      <c r="I29" s="451" t="s">
        <v>721</v>
      </c>
      <c r="J29" s="451" t="s">
        <v>722</v>
      </c>
      <c r="K29" s="451" t="s">
        <v>723</v>
      </c>
      <c r="L29" s="451" t="s">
        <v>724</v>
      </c>
      <c r="M29" s="451" t="s">
        <v>725</v>
      </c>
      <c r="N29" s="452" t="s">
        <v>726</v>
      </c>
    </row>
    <row r="30" spans="1:14" ht="93.75" customHeight="1" x14ac:dyDescent="0.2">
      <c r="A30" s="454" t="s">
        <v>925</v>
      </c>
      <c r="B30" s="455" t="str">
        <f>IF($G$3="","",VLOOKUP($G$3,'Matriz de seguimiento'!$A$10:$AL$57,19,FALSE))</f>
        <v/>
      </c>
      <c r="C30" s="456"/>
      <c r="D30" s="457"/>
      <c r="E30" s="458"/>
      <c r="F30" s="458"/>
      <c r="G30" s="458"/>
      <c r="H30" s="458"/>
      <c r="I30" s="458"/>
      <c r="J30" s="458"/>
      <c r="K30" s="458"/>
      <c r="L30" s="458"/>
      <c r="M30" s="458"/>
      <c r="N30" s="459"/>
    </row>
    <row r="31" spans="1:14" ht="93.75" customHeight="1" thickBot="1" x14ac:dyDescent="0.25">
      <c r="A31" s="460" t="s">
        <v>926</v>
      </c>
      <c r="B31" s="461" t="str">
        <f>IF($G$3="","",VLOOKUP($G$3,'Matriz de seguimiento'!$A$10:$AL$57,20,FALSE))</f>
        <v/>
      </c>
      <c r="C31" s="462"/>
      <c r="D31" s="463"/>
      <c r="E31" s="464"/>
      <c r="F31" s="464"/>
      <c r="G31" s="464"/>
      <c r="H31" s="464"/>
      <c r="I31" s="464"/>
      <c r="J31" s="464"/>
      <c r="K31" s="464"/>
      <c r="L31" s="464"/>
      <c r="M31" s="464"/>
      <c r="N31" s="465"/>
    </row>
    <row r="32" spans="1:14" ht="42" customHeight="1" thickBot="1" x14ac:dyDescent="0.25">
      <c r="A32" s="767" t="s">
        <v>1180</v>
      </c>
      <c r="B32" s="768"/>
      <c r="C32" s="467" t="str">
        <f>IF(C31="","",C30/C31)</f>
        <v/>
      </c>
      <c r="D32" s="466" t="str">
        <f t="shared" ref="D32:N32" si="0">IF(D31="","",D30/D31)</f>
        <v/>
      </c>
      <c r="E32" s="466" t="str">
        <f t="shared" si="0"/>
        <v/>
      </c>
      <c r="F32" s="466" t="str">
        <f t="shared" si="0"/>
        <v/>
      </c>
      <c r="G32" s="466" t="str">
        <f t="shared" si="0"/>
        <v/>
      </c>
      <c r="H32" s="466" t="str">
        <f t="shared" si="0"/>
        <v/>
      </c>
      <c r="I32" s="466" t="str">
        <f t="shared" si="0"/>
        <v/>
      </c>
      <c r="J32" s="466" t="str">
        <f t="shared" si="0"/>
        <v/>
      </c>
      <c r="K32" s="466" t="str">
        <f t="shared" si="0"/>
        <v/>
      </c>
      <c r="L32" s="466" t="str">
        <f t="shared" si="0"/>
        <v/>
      </c>
      <c r="M32" s="466" t="str">
        <f t="shared" si="0"/>
        <v/>
      </c>
      <c r="N32" s="468" t="str">
        <f t="shared" si="0"/>
        <v/>
      </c>
    </row>
    <row r="33" spans="1:14" ht="7.5" customHeight="1" thickBot="1" x14ac:dyDescent="0.25"/>
    <row r="34" spans="1:14" ht="21.75" customHeight="1" thickBot="1" x14ac:dyDescent="0.25">
      <c r="A34" s="735" t="s">
        <v>1181</v>
      </c>
      <c r="B34" s="736"/>
      <c r="C34" s="736"/>
      <c r="D34" s="736"/>
      <c r="E34" s="736"/>
      <c r="F34" s="736"/>
      <c r="G34" s="736"/>
      <c r="H34" s="736"/>
      <c r="I34" s="736"/>
      <c r="J34" s="736"/>
      <c r="K34" s="736"/>
      <c r="L34" s="736"/>
      <c r="M34" s="736"/>
      <c r="N34" s="737"/>
    </row>
    <row r="35" spans="1:14" ht="21.75" customHeight="1" thickBot="1" x14ac:dyDescent="0.25">
      <c r="A35" s="769" t="s">
        <v>1182</v>
      </c>
      <c r="B35" s="770"/>
      <c r="C35" s="770"/>
      <c r="D35" s="770"/>
      <c r="E35" s="770"/>
      <c r="F35" s="770"/>
      <c r="G35" s="770"/>
      <c r="H35" s="770"/>
      <c r="I35" s="770"/>
      <c r="J35" s="770"/>
      <c r="K35" s="770"/>
      <c r="L35" s="770"/>
      <c r="M35" s="770"/>
      <c r="N35" s="771"/>
    </row>
    <row r="36" spans="1:14" ht="7.5" customHeight="1" thickBot="1" x14ac:dyDescent="0.25">
      <c r="A36" s="440"/>
      <c r="B36" s="440"/>
      <c r="C36" s="440"/>
      <c r="D36" s="440"/>
      <c r="E36" s="440"/>
    </row>
    <row r="37" spans="1:14" s="443" customFormat="1" ht="42.75" customHeight="1" x14ac:dyDescent="0.25">
      <c r="A37" s="644" t="s">
        <v>1183</v>
      </c>
      <c r="B37" s="634"/>
      <c r="C37" s="749"/>
      <c r="D37" s="749"/>
      <c r="E37" s="749"/>
      <c r="F37" s="749"/>
      <c r="G37" s="749"/>
      <c r="H37" s="749"/>
      <c r="I37" s="749"/>
      <c r="J37" s="749"/>
      <c r="K37" s="749"/>
      <c r="L37" s="749"/>
      <c r="M37" s="749"/>
      <c r="N37" s="750"/>
    </row>
    <row r="38" spans="1:14" s="443" customFormat="1" ht="42.75" customHeight="1" x14ac:dyDescent="0.25">
      <c r="A38" s="742" t="s">
        <v>1184</v>
      </c>
      <c r="B38" s="743"/>
      <c r="C38" s="772"/>
      <c r="D38" s="772"/>
      <c r="E38" s="772"/>
      <c r="F38" s="772"/>
      <c r="G38" s="772"/>
      <c r="H38" s="772"/>
      <c r="I38" s="772"/>
      <c r="J38" s="772"/>
      <c r="K38" s="772"/>
      <c r="L38" s="772"/>
      <c r="M38" s="772"/>
      <c r="N38" s="773"/>
    </row>
    <row r="39" spans="1:14" s="443" customFormat="1" ht="42.75" customHeight="1" x14ac:dyDescent="0.25">
      <c r="A39" s="742" t="s">
        <v>1185</v>
      </c>
      <c r="B39" s="743"/>
      <c r="C39" s="772"/>
      <c r="D39" s="772"/>
      <c r="E39" s="772"/>
      <c r="F39" s="772"/>
      <c r="G39" s="772"/>
      <c r="H39" s="772"/>
      <c r="I39" s="772"/>
      <c r="J39" s="772"/>
      <c r="K39" s="772"/>
      <c r="L39" s="772"/>
      <c r="M39" s="772"/>
      <c r="N39" s="773"/>
    </row>
    <row r="40" spans="1:14" s="443" customFormat="1" ht="42.75" customHeight="1" thickBot="1" x14ac:dyDescent="0.3">
      <c r="A40" s="746" t="s">
        <v>1186</v>
      </c>
      <c r="B40" s="635"/>
      <c r="C40" s="774"/>
      <c r="D40" s="774"/>
      <c r="E40" s="774"/>
      <c r="F40" s="774"/>
      <c r="G40" s="774"/>
      <c r="H40" s="774"/>
      <c r="I40" s="774"/>
      <c r="J40" s="774"/>
      <c r="K40" s="774"/>
      <c r="L40" s="774"/>
      <c r="M40" s="774"/>
      <c r="N40" s="775"/>
    </row>
    <row r="41" spans="1:14" x14ac:dyDescent="0.2"/>
    <row r="42" spans="1:14" x14ac:dyDescent="0.2"/>
    <row r="43" spans="1:14" x14ac:dyDescent="0.2"/>
    <row r="44" spans="1:14" x14ac:dyDescent="0.2"/>
    <row r="45" spans="1:14" x14ac:dyDescent="0.2"/>
    <row r="46" spans="1:14" x14ac:dyDescent="0.2"/>
    <row r="47" spans="1:14" x14ac:dyDescent="0.2"/>
  </sheetData>
  <mergeCells count="53">
    <mergeCell ref="A38:B38"/>
    <mergeCell ref="C38:N38"/>
    <mergeCell ref="A39:B39"/>
    <mergeCell ref="C39:N39"/>
    <mergeCell ref="A40:B40"/>
    <mergeCell ref="C40:N40"/>
    <mergeCell ref="A37:B37"/>
    <mergeCell ref="C37:N37"/>
    <mergeCell ref="A22:C22"/>
    <mergeCell ref="D22:N22"/>
    <mergeCell ref="A23:C23"/>
    <mergeCell ref="D23:N23"/>
    <mergeCell ref="A25:C25"/>
    <mergeCell ref="D25:H25"/>
    <mergeCell ref="I25:J25"/>
    <mergeCell ref="K25:N25"/>
    <mergeCell ref="A27:N27"/>
    <mergeCell ref="A29:B29"/>
    <mergeCell ref="A32:B32"/>
    <mergeCell ref="A34:N34"/>
    <mergeCell ref="A35:N35"/>
    <mergeCell ref="A19:C19"/>
    <mergeCell ref="D19:N19"/>
    <mergeCell ref="A20:C20"/>
    <mergeCell ref="D20:N20"/>
    <mergeCell ref="A21:C21"/>
    <mergeCell ref="D21:N21"/>
    <mergeCell ref="A15:C15"/>
    <mergeCell ref="D15:N15"/>
    <mergeCell ref="A16:C16"/>
    <mergeCell ref="D16:N16"/>
    <mergeCell ref="A18:C18"/>
    <mergeCell ref="D18:N18"/>
    <mergeCell ref="A10:D10"/>
    <mergeCell ref="F10:I10"/>
    <mergeCell ref="K10:N10"/>
    <mergeCell ref="A12:N12"/>
    <mergeCell ref="A14:C14"/>
    <mergeCell ref="D14:N14"/>
    <mergeCell ref="A9:D9"/>
    <mergeCell ref="F9:I9"/>
    <mergeCell ref="K9:N9"/>
    <mergeCell ref="A1:B1"/>
    <mergeCell ref="C1:L1"/>
    <mergeCell ref="M1:N1"/>
    <mergeCell ref="A3:B3"/>
    <mergeCell ref="C3:D3"/>
    <mergeCell ref="J3:N3"/>
    <mergeCell ref="A5:B5"/>
    <mergeCell ref="C5:E5"/>
    <mergeCell ref="G5:H5"/>
    <mergeCell ref="I5:N5"/>
    <mergeCell ref="A7:N7"/>
  </mergeCells>
  <dataValidations count="2">
    <dataValidation type="list" allowBlank="1" showInputMessage="1" showErrorMessage="1" sqref="G3:G4" xr:uid="{850B9147-A39B-46BC-869C-D56853D99D14}">
      <formula1>INDIRECT($C$3)</formula1>
    </dataValidation>
    <dataValidation type="list" allowBlank="1" showInputMessage="1" showErrorMessage="1" sqref="C3:C4" xr:uid="{A3B3CACC-228C-478C-8467-13522B97F370}">
      <formula1>Áreas</formula1>
    </dataValidation>
  </dataValidations>
  <pageMargins left="0.11811023622047245" right="7.874015748031496E-2" top="0.35433070866141736" bottom="0.31496062992125984" header="0.23622047244094491" footer="0.15748031496062992"/>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showGridLines="0" tabSelected="1" workbookViewId="0">
      <selection activeCell="C17" sqref="C17"/>
    </sheetView>
  </sheetViews>
  <sheetFormatPr baseColWidth="10" defaultColWidth="0" defaultRowHeight="15" zeroHeight="1" x14ac:dyDescent="0.25"/>
  <cols>
    <col min="1" max="1" width="2.5703125" customWidth="1"/>
    <col min="2" max="2" width="45.28515625" customWidth="1"/>
    <col min="3" max="5" width="14.7109375" customWidth="1"/>
    <col min="6" max="6" width="14.42578125" customWidth="1"/>
    <col min="7" max="7" width="6" customWidth="1"/>
    <col min="8" max="8" width="20.7109375" customWidth="1"/>
    <col min="9" max="9" width="9.42578125" customWidth="1"/>
    <col min="10" max="10" width="5.85546875" customWidth="1"/>
    <col min="11" max="13" width="11.42578125" customWidth="1"/>
    <col min="14" max="14" width="2.5703125" customWidth="1"/>
    <col min="15" max="16384" width="11.42578125" hidden="1"/>
  </cols>
  <sheetData>
    <row r="1" spans="2:9" ht="7.5" customHeight="1" thickBot="1" x14ac:dyDescent="0.3"/>
    <row r="2" spans="2:9" ht="15.75" thickBot="1" x14ac:dyDescent="0.3">
      <c r="B2" s="509" t="s">
        <v>30</v>
      </c>
      <c r="C2" s="412" t="s">
        <v>1009</v>
      </c>
      <c r="D2" s="413" t="s">
        <v>1007</v>
      </c>
      <c r="E2" s="414" t="s">
        <v>1008</v>
      </c>
      <c r="F2" s="531" t="s">
        <v>1229</v>
      </c>
    </row>
    <row r="3" spans="2:9" ht="42.75" customHeight="1" x14ac:dyDescent="0.25">
      <c r="B3" s="415" t="s">
        <v>1400</v>
      </c>
      <c r="C3" s="416">
        <v>13</v>
      </c>
      <c r="D3" s="417" t="s">
        <v>40</v>
      </c>
      <c r="E3" s="417" t="s">
        <v>40</v>
      </c>
      <c r="F3" s="422" t="s">
        <v>40</v>
      </c>
    </row>
    <row r="4" spans="2:9" ht="68.25" customHeight="1" x14ac:dyDescent="0.25">
      <c r="B4" s="418" t="s">
        <v>1401</v>
      </c>
      <c r="C4" s="33">
        <v>6</v>
      </c>
      <c r="D4" s="34" t="s">
        <v>40</v>
      </c>
      <c r="E4" s="34" t="s">
        <v>40</v>
      </c>
      <c r="F4" s="35" t="s">
        <v>40</v>
      </c>
    </row>
    <row r="5" spans="2:9" ht="46.5" customHeight="1" x14ac:dyDescent="0.25">
      <c r="B5" s="418" t="s">
        <v>1011</v>
      </c>
      <c r="C5" s="33">
        <v>5</v>
      </c>
      <c r="D5" s="34">
        <v>1</v>
      </c>
      <c r="E5" s="34" t="s">
        <v>40</v>
      </c>
      <c r="F5" s="35" t="s">
        <v>40</v>
      </c>
    </row>
    <row r="6" spans="2:9" ht="60" customHeight="1" x14ac:dyDescent="0.25">
      <c r="B6" s="418" t="s">
        <v>1012</v>
      </c>
      <c r="C6" s="33">
        <v>11</v>
      </c>
      <c r="D6" s="34" t="s">
        <v>40</v>
      </c>
      <c r="E6" s="34">
        <v>2</v>
      </c>
      <c r="F6" s="35" t="s">
        <v>40</v>
      </c>
    </row>
    <row r="7" spans="2:9" ht="42" customHeight="1" x14ac:dyDescent="0.25">
      <c r="B7" s="418" t="s">
        <v>1013</v>
      </c>
      <c r="C7" s="33">
        <v>4</v>
      </c>
      <c r="D7" s="34">
        <v>2</v>
      </c>
      <c r="E7" s="34" t="s">
        <v>40</v>
      </c>
      <c r="F7" s="35">
        <v>1</v>
      </c>
    </row>
    <row r="8" spans="2:9" ht="30.75" customHeight="1" thickBot="1" x14ac:dyDescent="0.3">
      <c r="B8" s="419" t="s">
        <v>468</v>
      </c>
      <c r="C8" s="420">
        <v>1</v>
      </c>
      <c r="D8" s="421">
        <v>2</v>
      </c>
      <c r="E8" s="421" t="s">
        <v>40</v>
      </c>
      <c r="F8" s="423" t="s">
        <v>40</v>
      </c>
    </row>
    <row r="9" spans="2:9" x14ac:dyDescent="0.25"/>
    <row r="10" spans="2:9" x14ac:dyDescent="0.25">
      <c r="B10" s="585">
        <f>F15/(C15*E11)</f>
        <v>0.9375</v>
      </c>
      <c r="C10" s="411" t="s">
        <v>1014</v>
      </c>
      <c r="D10" s="411" t="s">
        <v>1015</v>
      </c>
      <c r="E10" s="430" t="s">
        <v>365</v>
      </c>
      <c r="F10" s="411" t="s">
        <v>1016</v>
      </c>
      <c r="H10" s="529" t="s">
        <v>1227</v>
      </c>
      <c r="I10" s="513">
        <v>0.3</v>
      </c>
    </row>
    <row r="11" spans="2:9" x14ac:dyDescent="0.25">
      <c r="B11" s="427" t="s">
        <v>1006</v>
      </c>
      <c r="C11" s="411">
        <f>SUM(C3:C8)</f>
        <v>40</v>
      </c>
      <c r="D11" s="426">
        <f>C11/$C$15</f>
        <v>0.83333333333333337</v>
      </c>
      <c r="E11" s="260">
        <v>4</v>
      </c>
      <c r="F11" s="260">
        <f>C11*E11</f>
        <v>160</v>
      </c>
      <c r="H11" s="510" t="s">
        <v>1004</v>
      </c>
      <c r="I11" s="513">
        <v>0.3</v>
      </c>
    </row>
    <row r="12" spans="2:9" x14ac:dyDescent="0.25">
      <c r="B12" s="428" t="s">
        <v>1005</v>
      </c>
      <c r="C12" s="411">
        <f>SUM(D3:D8)</f>
        <v>5</v>
      </c>
      <c r="D12" s="426">
        <f t="shared" ref="D12:D14" si="0">C12/$C$15</f>
        <v>0.10416666666666667</v>
      </c>
      <c r="E12" s="260">
        <v>3</v>
      </c>
      <c r="F12" s="260">
        <f>C12*E12</f>
        <v>15</v>
      </c>
      <c r="H12" s="511" t="s">
        <v>1005</v>
      </c>
      <c r="I12" s="513">
        <v>0.3</v>
      </c>
    </row>
    <row r="13" spans="2:9" x14ac:dyDescent="0.25">
      <c r="B13" s="429" t="s">
        <v>1004</v>
      </c>
      <c r="C13" s="411">
        <f>SUM(E3:E8)</f>
        <v>2</v>
      </c>
      <c r="D13" s="426">
        <f t="shared" si="0"/>
        <v>4.1666666666666664E-2</v>
      </c>
      <c r="E13" s="260">
        <v>2</v>
      </c>
      <c r="F13" s="260">
        <f>C13*E13</f>
        <v>4</v>
      </c>
      <c r="H13" s="512" t="s">
        <v>1006</v>
      </c>
      <c r="I13" s="513">
        <v>0.1</v>
      </c>
    </row>
    <row r="14" spans="2:9" x14ac:dyDescent="0.25">
      <c r="B14" s="530" t="s">
        <v>1312</v>
      </c>
      <c r="C14" s="411">
        <f>SUM(F3:F8)</f>
        <v>1</v>
      </c>
      <c r="D14" s="426">
        <f t="shared" si="0"/>
        <v>2.0833333333333332E-2</v>
      </c>
      <c r="E14" s="260">
        <v>1</v>
      </c>
      <c r="F14" s="260">
        <f>C14*E14</f>
        <v>1</v>
      </c>
      <c r="H14" s="411" t="s">
        <v>1010</v>
      </c>
      <c r="I14" s="514">
        <f>SUM(I10:I13)</f>
        <v>0.99999999999999989</v>
      </c>
    </row>
    <row r="15" spans="2:9" x14ac:dyDescent="0.25">
      <c r="B15" s="424" t="s">
        <v>1010</v>
      </c>
      <c r="C15" s="410">
        <f>SUM(C11:C14)</f>
        <v>48</v>
      </c>
      <c r="D15" s="425"/>
      <c r="E15" s="278"/>
      <c r="F15" s="410">
        <f>SUM(F11:F14)</f>
        <v>180</v>
      </c>
    </row>
    <row r="16" spans="2:9" x14ac:dyDescent="0.25">
      <c r="H16" s="580" t="s">
        <v>1277</v>
      </c>
      <c r="I16" s="581">
        <f>B10</f>
        <v>0.9375</v>
      </c>
    </row>
    <row r="17" spans="2:9" x14ac:dyDescent="0.25">
      <c r="B17" s="410" t="s">
        <v>1321</v>
      </c>
      <c r="C17" s="431">
        <f>B10*100%</f>
        <v>0.9375</v>
      </c>
      <c r="H17" s="582"/>
      <c r="I17" s="582"/>
    </row>
    <row r="18" spans="2:9" x14ac:dyDescent="0.25">
      <c r="H18" s="580" t="s">
        <v>1278</v>
      </c>
      <c r="I18" s="583">
        <f>I16-I19/2</f>
        <v>0.92749999999999999</v>
      </c>
    </row>
    <row r="19" spans="2:9" x14ac:dyDescent="0.25">
      <c r="H19" s="580" t="s">
        <v>1279</v>
      </c>
      <c r="I19" s="584">
        <v>0.02</v>
      </c>
    </row>
    <row r="20" spans="2:9" x14ac:dyDescent="0.25">
      <c r="H20" s="580" t="s">
        <v>1280</v>
      </c>
      <c r="I20" s="583">
        <f>SUM(I10:I14)-I18-I19</f>
        <v>1.0524999999999998</v>
      </c>
    </row>
    <row r="21" spans="2:9" x14ac:dyDescent="0.25"/>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2BDF4-A2C4-4DCA-9363-D73CBAB2FC9C}">
  <dimension ref="A1:V91"/>
  <sheetViews>
    <sheetView showGridLines="0" zoomScale="86" zoomScaleNormal="80" zoomScaleSheetLayoutView="85" workbookViewId="0">
      <selection activeCell="C6" sqref="C6:H6"/>
    </sheetView>
  </sheetViews>
  <sheetFormatPr baseColWidth="10" defaultColWidth="11.42578125" defaultRowHeight="0" customHeight="1" zeroHeight="1" x14ac:dyDescent="0.25"/>
  <cols>
    <col min="1" max="1" width="7" style="114" customWidth="1"/>
    <col min="2" max="2" width="25.28515625" style="115" customWidth="1"/>
    <col min="3" max="3" width="41" style="116" customWidth="1"/>
    <col min="4" max="4" width="30" style="116" customWidth="1"/>
    <col min="5" max="5" width="31.85546875" style="113" customWidth="1"/>
    <col min="6" max="6" width="25.7109375" style="113" customWidth="1"/>
    <col min="7" max="8" width="23.42578125" style="113" customWidth="1"/>
    <col min="9" max="9" width="15.42578125" style="113" customWidth="1"/>
    <col min="10" max="21" width="13.5703125" style="97" customWidth="1"/>
    <col min="22" max="22" width="15" style="97" customWidth="1"/>
    <col min="23" max="16384" width="11.42578125" style="117"/>
  </cols>
  <sheetData>
    <row r="1" spans="1:22" s="225" customFormat="1" ht="36.75" customHeight="1" x14ac:dyDescent="0.25">
      <c r="A1" s="780" t="s">
        <v>352</v>
      </c>
      <c r="B1" s="781"/>
      <c r="C1" s="781"/>
      <c r="D1" s="781"/>
      <c r="E1" s="781"/>
      <c r="F1" s="781"/>
      <c r="G1" s="781"/>
      <c r="H1" s="782"/>
      <c r="I1" s="307"/>
      <c r="J1" s="90"/>
      <c r="K1" s="90"/>
      <c r="L1" s="90"/>
      <c r="M1" s="90"/>
      <c r="N1" s="90"/>
      <c r="O1" s="90"/>
      <c r="P1" s="90"/>
      <c r="Q1" s="90"/>
      <c r="R1" s="90"/>
      <c r="S1" s="90"/>
      <c r="T1" s="90"/>
      <c r="U1" s="90"/>
      <c r="V1" s="90"/>
    </row>
    <row r="2" spans="1:22" s="225" customFormat="1" ht="36.75" customHeight="1" thickBot="1" x14ac:dyDescent="0.3">
      <c r="A2" s="783"/>
      <c r="B2" s="784"/>
      <c r="C2" s="784"/>
      <c r="D2" s="784"/>
      <c r="E2" s="784"/>
      <c r="F2" s="784"/>
      <c r="G2" s="784"/>
      <c r="H2" s="785"/>
      <c r="I2" s="307"/>
      <c r="J2" s="90"/>
      <c r="K2" s="90"/>
      <c r="L2" s="90"/>
      <c r="M2" s="90"/>
      <c r="N2" s="90"/>
      <c r="O2" s="90"/>
      <c r="P2" s="90"/>
      <c r="Q2" s="90"/>
      <c r="R2" s="90"/>
      <c r="S2" s="90"/>
      <c r="T2" s="90"/>
      <c r="U2" s="90"/>
      <c r="V2" s="90"/>
    </row>
    <row r="3" spans="1:22" s="225" customFormat="1" ht="9.75" customHeight="1" thickBot="1" x14ac:dyDescent="0.3">
      <c r="A3" s="90"/>
      <c r="B3" s="91"/>
      <c r="C3" s="91"/>
      <c r="D3" s="91"/>
      <c r="E3" s="92"/>
      <c r="F3" s="92"/>
      <c r="G3" s="92"/>
      <c r="H3" s="92"/>
      <c r="I3" s="92"/>
      <c r="J3" s="90"/>
      <c r="K3" s="90"/>
      <c r="L3" s="90"/>
      <c r="M3" s="90"/>
      <c r="N3" s="90"/>
      <c r="O3" s="90"/>
      <c r="P3" s="90"/>
      <c r="Q3" s="90"/>
      <c r="R3" s="90"/>
      <c r="S3" s="90"/>
      <c r="T3" s="90"/>
      <c r="U3" s="90"/>
      <c r="V3" s="90"/>
    </row>
    <row r="4" spans="1:22" s="225" customFormat="1" ht="13.5" hidden="1" customHeight="1" thickBot="1" x14ac:dyDescent="0.3">
      <c r="A4" s="786" t="s">
        <v>353</v>
      </c>
      <c r="B4" s="787"/>
      <c r="C4" s="788"/>
      <c r="D4" s="789" t="s">
        <v>354</v>
      </c>
      <c r="E4" s="789"/>
      <c r="F4" s="789"/>
      <c r="G4" s="789"/>
      <c r="H4" s="789"/>
      <c r="I4" s="308"/>
      <c r="J4" s="90"/>
      <c r="K4" s="90"/>
      <c r="L4" s="90"/>
      <c r="M4" s="90"/>
      <c r="N4" s="90"/>
      <c r="O4" s="90"/>
      <c r="P4" s="90"/>
      <c r="Q4" s="90"/>
      <c r="R4" s="90"/>
      <c r="S4" s="90"/>
      <c r="T4" s="90"/>
      <c r="U4" s="90"/>
      <c r="V4" s="90"/>
    </row>
    <row r="5" spans="1:22" s="225" customFormat="1" ht="30" customHeight="1" x14ac:dyDescent="0.25">
      <c r="A5" s="790" t="s">
        <v>355</v>
      </c>
      <c r="B5" s="791"/>
      <c r="C5" s="792" t="s">
        <v>712</v>
      </c>
      <c r="D5" s="792"/>
      <c r="E5" s="792"/>
      <c r="F5" s="792"/>
      <c r="G5" s="792"/>
      <c r="H5" s="793"/>
      <c r="I5" s="309"/>
      <c r="J5" s="90"/>
      <c r="K5" s="90"/>
      <c r="L5" s="90"/>
      <c r="M5" s="90"/>
      <c r="N5" s="90"/>
      <c r="O5" s="90"/>
      <c r="P5" s="90"/>
      <c r="Q5" s="90"/>
      <c r="R5" s="90"/>
      <c r="S5" s="90"/>
      <c r="T5" s="90"/>
      <c r="U5" s="90"/>
      <c r="V5" s="90"/>
    </row>
    <row r="6" spans="1:22" s="225" customFormat="1" ht="22.5" customHeight="1" thickBot="1" x14ac:dyDescent="0.3">
      <c r="A6" s="776" t="s">
        <v>356</v>
      </c>
      <c r="B6" s="777"/>
      <c r="C6" s="778">
        <v>44256</v>
      </c>
      <c r="D6" s="778"/>
      <c r="E6" s="778"/>
      <c r="F6" s="778"/>
      <c r="G6" s="778"/>
      <c r="H6" s="779"/>
      <c r="I6" s="309"/>
      <c r="J6" s="90"/>
      <c r="K6" s="90"/>
      <c r="L6" s="90"/>
      <c r="M6" s="90"/>
      <c r="N6" s="90"/>
      <c r="O6" s="90"/>
      <c r="P6" s="90"/>
      <c r="Q6" s="90"/>
      <c r="R6" s="90"/>
      <c r="S6" s="90"/>
      <c r="T6" s="90"/>
      <c r="U6" s="90"/>
      <c r="V6" s="90"/>
    </row>
    <row r="7" spans="1:22" ht="8.25" customHeight="1" thickBot="1" x14ac:dyDescent="0.3">
      <c r="A7" s="93"/>
      <c r="B7" s="94"/>
      <c r="C7" s="95"/>
      <c r="D7" s="95"/>
      <c r="E7" s="96"/>
      <c r="F7" s="96"/>
      <c r="G7" s="96"/>
      <c r="H7" s="96"/>
      <c r="I7" s="96"/>
    </row>
    <row r="8" spans="1:22" ht="18" customHeight="1" thickBot="1" x14ac:dyDescent="0.3">
      <c r="A8" s="794" t="s">
        <v>357</v>
      </c>
      <c r="B8" s="795"/>
      <c r="C8" s="795"/>
      <c r="D8" s="795"/>
      <c r="E8" s="795"/>
      <c r="F8" s="795"/>
      <c r="G8" s="795"/>
      <c r="H8" s="796"/>
      <c r="I8" s="469"/>
      <c r="J8" s="797" t="s">
        <v>713</v>
      </c>
      <c r="K8" s="798"/>
      <c r="L8" s="798"/>
      <c r="M8" s="798"/>
      <c r="N8" s="798"/>
      <c r="O8" s="798"/>
      <c r="P8" s="798"/>
      <c r="Q8" s="798"/>
      <c r="R8" s="798"/>
      <c r="S8" s="798"/>
      <c r="T8" s="798"/>
      <c r="U8" s="799"/>
      <c r="V8" s="800" t="s">
        <v>714</v>
      </c>
    </row>
    <row r="9" spans="1:22" ht="18" customHeight="1" x14ac:dyDescent="0.25">
      <c r="A9" s="802" t="s">
        <v>358</v>
      </c>
      <c r="B9" s="804" t="s">
        <v>359</v>
      </c>
      <c r="C9" s="804" t="s">
        <v>360</v>
      </c>
      <c r="D9" s="804" t="s">
        <v>361</v>
      </c>
      <c r="E9" s="804" t="s">
        <v>362</v>
      </c>
      <c r="F9" s="806" t="s">
        <v>363</v>
      </c>
      <c r="G9" s="808" t="s">
        <v>364</v>
      </c>
      <c r="H9" s="809"/>
      <c r="I9" s="441" t="s">
        <v>365</v>
      </c>
      <c r="J9" s="310" t="s">
        <v>715</v>
      </c>
      <c r="K9" s="311" t="s">
        <v>716</v>
      </c>
      <c r="L9" s="311" t="s">
        <v>717</v>
      </c>
      <c r="M9" s="311" t="s">
        <v>718</v>
      </c>
      <c r="N9" s="311" t="s">
        <v>719</v>
      </c>
      <c r="O9" s="311" t="s">
        <v>720</v>
      </c>
      <c r="P9" s="311" t="s">
        <v>721</v>
      </c>
      <c r="Q9" s="311" t="s">
        <v>722</v>
      </c>
      <c r="R9" s="311" t="s">
        <v>723</v>
      </c>
      <c r="S9" s="311" t="s">
        <v>724</v>
      </c>
      <c r="T9" s="311" t="s">
        <v>725</v>
      </c>
      <c r="U9" s="312" t="s">
        <v>726</v>
      </c>
      <c r="V9" s="801"/>
    </row>
    <row r="10" spans="1:22" ht="16.5" customHeight="1" thickBot="1" x14ac:dyDescent="0.3">
      <c r="A10" s="803"/>
      <c r="B10" s="805"/>
      <c r="C10" s="805"/>
      <c r="D10" s="805"/>
      <c r="E10" s="805"/>
      <c r="F10" s="807"/>
      <c r="G10" s="313" t="s">
        <v>366</v>
      </c>
      <c r="H10" s="314" t="s">
        <v>367</v>
      </c>
      <c r="I10" s="470">
        <f t="shared" ref="I10:J10" si="0">I11+I12+I13+I20+I26+I37+I40+I45+I49</f>
        <v>0.99999999999999989</v>
      </c>
      <c r="J10" s="315">
        <f t="shared" si="0"/>
        <v>8.3333333333333332E-3</v>
      </c>
      <c r="K10" s="316">
        <f>K11+K12+K13+K20+K26+K37+K40+K45+K49</f>
        <v>4.1053333333333324E-2</v>
      </c>
      <c r="L10" s="316">
        <f t="shared" ref="L10:U10" si="1">L11+L12+L13+L20+L26+L37+L40+L45+L49</f>
        <v>0.13156333333333331</v>
      </c>
      <c r="M10" s="316">
        <f t="shared" si="1"/>
        <v>0.11252333333333332</v>
      </c>
      <c r="N10" s="316">
        <f t="shared" si="1"/>
        <v>0.11873333333333333</v>
      </c>
      <c r="O10" s="316">
        <f t="shared" si="1"/>
        <v>0.13391333333333333</v>
      </c>
      <c r="P10" s="316">
        <f t="shared" si="1"/>
        <v>8.4432666666666656E-2</v>
      </c>
      <c r="Q10" s="316">
        <f t="shared" si="1"/>
        <v>9.4782666666666654E-2</v>
      </c>
      <c r="R10" s="316">
        <f t="shared" si="1"/>
        <v>8.2592666666666648E-2</v>
      </c>
      <c r="S10" s="316">
        <f t="shared" si="1"/>
        <v>6.7642666666666657E-2</v>
      </c>
      <c r="T10" s="316">
        <f t="shared" si="1"/>
        <v>5.4992666666666662E-2</v>
      </c>
      <c r="U10" s="317">
        <f t="shared" si="1"/>
        <v>6.943666666666666E-2</v>
      </c>
      <c r="V10" s="318">
        <f t="shared" ref="V10:V55" si="2">J10+K10+L10+M10+N10+O10+P10+Q10+R10+S10+T10+U10</f>
        <v>0.99999999999999989</v>
      </c>
    </row>
    <row r="11" spans="1:22" ht="65.25" customHeight="1" x14ac:dyDescent="0.25">
      <c r="A11" s="471">
        <v>1</v>
      </c>
      <c r="B11" s="472" t="s">
        <v>368</v>
      </c>
      <c r="C11" s="472" t="s">
        <v>369</v>
      </c>
      <c r="D11" s="472" t="s">
        <v>370</v>
      </c>
      <c r="E11" s="473" t="s">
        <v>371</v>
      </c>
      <c r="F11" s="474">
        <v>1</v>
      </c>
      <c r="G11" s="475">
        <v>44228</v>
      </c>
      <c r="H11" s="476">
        <v>44286</v>
      </c>
      <c r="I11" s="477">
        <v>7.1999999999999995E-2</v>
      </c>
      <c r="J11" s="478">
        <v>0</v>
      </c>
      <c r="K11" s="479">
        <v>1.7999999999999999E-2</v>
      </c>
      <c r="L11" s="479">
        <v>5.3999999999999992E-2</v>
      </c>
      <c r="M11" s="479">
        <v>0</v>
      </c>
      <c r="N11" s="479">
        <v>0</v>
      </c>
      <c r="O11" s="479">
        <v>0</v>
      </c>
      <c r="P11" s="479">
        <v>0</v>
      </c>
      <c r="Q11" s="479">
        <v>0</v>
      </c>
      <c r="R11" s="479">
        <v>0</v>
      </c>
      <c r="S11" s="479">
        <v>0</v>
      </c>
      <c r="T11" s="479">
        <v>0</v>
      </c>
      <c r="U11" s="480">
        <v>0</v>
      </c>
      <c r="V11" s="481">
        <f t="shared" si="2"/>
        <v>7.1999999999999995E-2</v>
      </c>
    </row>
    <row r="12" spans="1:22" ht="69" customHeight="1" x14ac:dyDescent="0.25">
      <c r="A12" s="482">
        <v>2</v>
      </c>
      <c r="B12" s="483" t="s">
        <v>368</v>
      </c>
      <c r="C12" s="483" t="s">
        <v>372</v>
      </c>
      <c r="D12" s="483" t="s">
        <v>370</v>
      </c>
      <c r="E12" s="484" t="s">
        <v>373</v>
      </c>
      <c r="F12" s="485">
        <v>1</v>
      </c>
      <c r="G12" s="486">
        <v>44228</v>
      </c>
      <c r="H12" s="487">
        <v>44561</v>
      </c>
      <c r="I12" s="488">
        <v>0.1</v>
      </c>
      <c r="J12" s="489">
        <v>8.3333333333333332E-3</v>
      </c>
      <c r="K12" s="490">
        <v>8.3333333333333332E-3</v>
      </c>
      <c r="L12" s="490">
        <v>8.3333333333333332E-3</v>
      </c>
      <c r="M12" s="490">
        <v>8.3333333333333332E-3</v>
      </c>
      <c r="N12" s="490">
        <v>8.3333333333333332E-3</v>
      </c>
      <c r="O12" s="490">
        <v>8.3333333333333332E-3</v>
      </c>
      <c r="P12" s="490">
        <v>8.3333333333333332E-3</v>
      </c>
      <c r="Q12" s="490">
        <v>8.3333333333333332E-3</v>
      </c>
      <c r="R12" s="490">
        <v>8.3333333333333332E-3</v>
      </c>
      <c r="S12" s="490">
        <v>8.3333333333333332E-3</v>
      </c>
      <c r="T12" s="490">
        <v>8.3333333333333332E-3</v>
      </c>
      <c r="U12" s="491">
        <v>8.3333333333333332E-3</v>
      </c>
      <c r="V12" s="492">
        <f t="shared" si="2"/>
        <v>9.9999999999999992E-2</v>
      </c>
    </row>
    <row r="13" spans="1:22" ht="61.5" customHeight="1" x14ac:dyDescent="0.25">
      <c r="A13" s="243">
        <v>3</v>
      </c>
      <c r="B13" s="810" t="s">
        <v>374</v>
      </c>
      <c r="C13" s="810"/>
      <c r="D13" s="245" t="s">
        <v>375</v>
      </c>
      <c r="E13" s="244" t="s">
        <v>376</v>
      </c>
      <c r="F13" s="319">
        <v>1</v>
      </c>
      <c r="G13" s="320">
        <v>44228</v>
      </c>
      <c r="H13" s="321">
        <v>44561</v>
      </c>
      <c r="I13" s="493">
        <f>SUM(I14:I19)</f>
        <v>0.13799999999999998</v>
      </c>
      <c r="J13" s="322">
        <f>(AVERAGE(J14:J19)*$I$13)</f>
        <v>0</v>
      </c>
      <c r="K13" s="323">
        <f t="shared" ref="K13:U13" si="3">(AVERAGE(K14:K19)*$I$13)</f>
        <v>5.5199999999999997E-3</v>
      </c>
      <c r="L13" s="323">
        <f t="shared" si="3"/>
        <v>1.3799999999999998E-2</v>
      </c>
      <c r="M13" s="323">
        <f t="shared" si="3"/>
        <v>3.9559999999999998E-2</v>
      </c>
      <c r="N13" s="323">
        <f t="shared" si="3"/>
        <v>2.2540000000000001E-2</v>
      </c>
      <c r="O13" s="323">
        <f t="shared" si="3"/>
        <v>2.6679999999999999E-2</v>
      </c>
      <c r="P13" s="323">
        <f t="shared" si="3"/>
        <v>1.1039999999999999E-2</v>
      </c>
      <c r="Q13" s="323">
        <f t="shared" si="3"/>
        <v>1.1039999999999999E-2</v>
      </c>
      <c r="R13" s="323">
        <f t="shared" si="3"/>
        <v>2.2999999999999995E-3</v>
      </c>
      <c r="S13" s="323">
        <f t="shared" si="3"/>
        <v>2.2999999999999995E-3</v>
      </c>
      <c r="T13" s="323">
        <f t="shared" si="3"/>
        <v>2.2999999999999995E-3</v>
      </c>
      <c r="U13" s="324">
        <f t="shared" si="3"/>
        <v>9.1999999999999992E-4</v>
      </c>
      <c r="V13" s="325">
        <f t="shared" si="2"/>
        <v>0.13799999999999998</v>
      </c>
    </row>
    <row r="14" spans="1:22" ht="54" customHeight="1" x14ac:dyDescent="0.25">
      <c r="A14" s="98" t="s">
        <v>377</v>
      </c>
      <c r="B14" s="99" t="s">
        <v>378</v>
      </c>
      <c r="C14" s="99" t="s">
        <v>379</v>
      </c>
      <c r="D14" s="100" t="s">
        <v>380</v>
      </c>
      <c r="E14" s="101" t="s">
        <v>727</v>
      </c>
      <c r="F14" s="326">
        <v>1</v>
      </c>
      <c r="G14" s="327">
        <v>44228</v>
      </c>
      <c r="H14" s="328">
        <v>44561</v>
      </c>
      <c r="I14" s="494">
        <v>2.3E-2</v>
      </c>
      <c r="J14" s="329">
        <v>0</v>
      </c>
      <c r="K14" s="330">
        <v>0.04</v>
      </c>
      <c r="L14" s="330">
        <v>0.1</v>
      </c>
      <c r="M14" s="330">
        <v>0.1</v>
      </c>
      <c r="N14" s="334">
        <v>0.19</v>
      </c>
      <c r="O14" s="334">
        <v>0.19</v>
      </c>
      <c r="P14" s="334">
        <v>0.19</v>
      </c>
      <c r="Q14" s="334">
        <v>0.19</v>
      </c>
      <c r="R14" s="330">
        <v>0</v>
      </c>
      <c r="S14" s="330">
        <v>0</v>
      </c>
      <c r="T14" s="330">
        <v>0</v>
      </c>
      <c r="U14" s="331">
        <v>0</v>
      </c>
      <c r="V14" s="332">
        <f t="shared" si="2"/>
        <v>1</v>
      </c>
    </row>
    <row r="15" spans="1:22" ht="84.75" customHeight="1" x14ac:dyDescent="0.25">
      <c r="A15" s="98" t="s">
        <v>381</v>
      </c>
      <c r="B15" s="99" t="s">
        <v>378</v>
      </c>
      <c r="C15" s="99" t="s">
        <v>382</v>
      </c>
      <c r="D15" s="100" t="s">
        <v>380</v>
      </c>
      <c r="E15" s="101" t="s">
        <v>383</v>
      </c>
      <c r="F15" s="326">
        <v>1</v>
      </c>
      <c r="G15" s="327">
        <v>44228</v>
      </c>
      <c r="H15" s="328">
        <v>44561</v>
      </c>
      <c r="I15" s="494">
        <v>2.3E-2</v>
      </c>
      <c r="J15" s="333">
        <v>0</v>
      </c>
      <c r="K15" s="334">
        <v>0.04</v>
      </c>
      <c r="L15" s="334">
        <v>0.1</v>
      </c>
      <c r="M15" s="334">
        <v>0.46</v>
      </c>
      <c r="N15" s="334">
        <v>0.4</v>
      </c>
      <c r="O15" s="334">
        <v>0</v>
      </c>
      <c r="P15" s="334">
        <v>0</v>
      </c>
      <c r="Q15" s="334">
        <v>0</v>
      </c>
      <c r="R15" s="334">
        <v>0</v>
      </c>
      <c r="S15" s="334">
        <v>0</v>
      </c>
      <c r="T15" s="334">
        <v>0</v>
      </c>
      <c r="U15" s="335">
        <v>0</v>
      </c>
      <c r="V15" s="332">
        <f t="shared" si="2"/>
        <v>1</v>
      </c>
    </row>
    <row r="16" spans="1:22" ht="107.25" customHeight="1" x14ac:dyDescent="0.25">
      <c r="A16" s="98" t="s">
        <v>384</v>
      </c>
      <c r="B16" s="99" t="s">
        <v>378</v>
      </c>
      <c r="C16" s="99" t="s">
        <v>728</v>
      </c>
      <c r="D16" s="100" t="s">
        <v>385</v>
      </c>
      <c r="E16" s="101" t="s">
        <v>386</v>
      </c>
      <c r="F16" s="326">
        <v>1</v>
      </c>
      <c r="G16" s="327">
        <v>44228</v>
      </c>
      <c r="H16" s="328">
        <v>44561</v>
      </c>
      <c r="I16" s="494">
        <v>2.3E-2</v>
      </c>
      <c r="J16" s="333">
        <v>0</v>
      </c>
      <c r="K16" s="334">
        <v>0.04</v>
      </c>
      <c r="L16" s="334">
        <v>0.1</v>
      </c>
      <c r="M16" s="334">
        <v>0.1</v>
      </c>
      <c r="N16" s="334">
        <v>0.1</v>
      </c>
      <c r="O16" s="334">
        <v>0.66</v>
      </c>
      <c r="P16" s="334">
        <v>0</v>
      </c>
      <c r="Q16" s="334">
        <v>0</v>
      </c>
      <c r="R16" s="334">
        <v>0</v>
      </c>
      <c r="S16" s="334">
        <v>0</v>
      </c>
      <c r="T16" s="334">
        <v>0</v>
      </c>
      <c r="U16" s="335">
        <v>0</v>
      </c>
      <c r="V16" s="332">
        <f t="shared" si="2"/>
        <v>1</v>
      </c>
    </row>
    <row r="17" spans="1:22" ht="70.5" customHeight="1" x14ac:dyDescent="0.25">
      <c r="A17" s="98" t="s">
        <v>387</v>
      </c>
      <c r="B17" s="99" t="s">
        <v>388</v>
      </c>
      <c r="C17" s="99" t="s">
        <v>729</v>
      </c>
      <c r="D17" s="100" t="s">
        <v>380</v>
      </c>
      <c r="E17" s="101" t="s">
        <v>730</v>
      </c>
      <c r="F17" s="326">
        <v>1</v>
      </c>
      <c r="G17" s="327">
        <v>44228</v>
      </c>
      <c r="H17" s="328">
        <v>44561</v>
      </c>
      <c r="I17" s="494">
        <v>2.3E-2</v>
      </c>
      <c r="J17" s="333">
        <v>0</v>
      </c>
      <c r="K17" s="334">
        <v>0.04</v>
      </c>
      <c r="L17" s="334">
        <v>0.1</v>
      </c>
      <c r="M17" s="334">
        <v>0.86</v>
      </c>
      <c r="N17" s="334">
        <v>0</v>
      </c>
      <c r="O17" s="334">
        <v>0</v>
      </c>
      <c r="P17" s="334">
        <v>0</v>
      </c>
      <c r="Q17" s="334">
        <v>0</v>
      </c>
      <c r="R17" s="334">
        <v>0</v>
      </c>
      <c r="S17" s="334">
        <v>0</v>
      </c>
      <c r="T17" s="334">
        <v>0</v>
      </c>
      <c r="U17" s="335">
        <v>0</v>
      </c>
      <c r="V17" s="332">
        <f t="shared" si="2"/>
        <v>1</v>
      </c>
    </row>
    <row r="18" spans="1:22" ht="110.25" customHeight="1" x14ac:dyDescent="0.25">
      <c r="A18" s="98" t="s">
        <v>389</v>
      </c>
      <c r="B18" s="99" t="s">
        <v>388</v>
      </c>
      <c r="C18" s="99" t="s">
        <v>731</v>
      </c>
      <c r="D18" s="100" t="s">
        <v>380</v>
      </c>
      <c r="E18" s="101" t="s">
        <v>732</v>
      </c>
      <c r="F18" s="326">
        <v>1</v>
      </c>
      <c r="G18" s="327">
        <v>44228</v>
      </c>
      <c r="H18" s="328">
        <v>44286</v>
      </c>
      <c r="I18" s="494">
        <v>2.3E-2</v>
      </c>
      <c r="J18" s="333">
        <v>0</v>
      </c>
      <c r="K18" s="334">
        <v>0.04</v>
      </c>
      <c r="L18" s="334">
        <v>0.1</v>
      </c>
      <c r="M18" s="334">
        <v>0.1</v>
      </c>
      <c r="N18" s="334">
        <v>0.19</v>
      </c>
      <c r="O18" s="334">
        <v>0.19</v>
      </c>
      <c r="P18" s="334">
        <v>0.19</v>
      </c>
      <c r="Q18" s="334">
        <v>0.19</v>
      </c>
      <c r="R18" s="334">
        <v>0</v>
      </c>
      <c r="S18" s="334">
        <v>0</v>
      </c>
      <c r="T18" s="334">
        <v>0</v>
      </c>
      <c r="U18" s="335">
        <v>0</v>
      </c>
      <c r="V18" s="332">
        <f t="shared" si="2"/>
        <v>1</v>
      </c>
    </row>
    <row r="19" spans="1:22" ht="65.25" customHeight="1" x14ac:dyDescent="0.25">
      <c r="A19" s="98" t="s">
        <v>390</v>
      </c>
      <c r="B19" s="99" t="s">
        <v>388</v>
      </c>
      <c r="C19" s="99" t="s">
        <v>733</v>
      </c>
      <c r="D19" s="100" t="s">
        <v>380</v>
      </c>
      <c r="E19" s="101" t="s">
        <v>548</v>
      </c>
      <c r="F19" s="326">
        <v>1</v>
      </c>
      <c r="G19" s="327">
        <v>44228</v>
      </c>
      <c r="H19" s="328">
        <v>44561</v>
      </c>
      <c r="I19" s="494">
        <v>2.3E-2</v>
      </c>
      <c r="J19" s="333">
        <v>0</v>
      </c>
      <c r="K19" s="334">
        <v>0.04</v>
      </c>
      <c r="L19" s="334">
        <v>0.1</v>
      </c>
      <c r="M19" s="334">
        <v>0.1</v>
      </c>
      <c r="N19" s="334">
        <v>0.1</v>
      </c>
      <c r="O19" s="334">
        <v>0.12</v>
      </c>
      <c r="P19" s="334">
        <v>0.1</v>
      </c>
      <c r="Q19" s="334">
        <v>0.1</v>
      </c>
      <c r="R19" s="334">
        <v>0.1</v>
      </c>
      <c r="S19" s="334">
        <v>0.1</v>
      </c>
      <c r="T19" s="334">
        <v>0.1</v>
      </c>
      <c r="U19" s="335">
        <v>0.04</v>
      </c>
      <c r="V19" s="332">
        <f t="shared" si="2"/>
        <v>1</v>
      </c>
    </row>
    <row r="20" spans="1:22" s="336" customFormat="1" ht="51.75" customHeight="1" x14ac:dyDescent="0.25">
      <c r="A20" s="243">
        <v>4</v>
      </c>
      <c r="B20" s="810" t="s">
        <v>391</v>
      </c>
      <c r="C20" s="810"/>
      <c r="D20" s="245" t="s">
        <v>375</v>
      </c>
      <c r="E20" s="244" t="s">
        <v>376</v>
      </c>
      <c r="F20" s="319">
        <v>1</v>
      </c>
      <c r="G20" s="320">
        <v>44228</v>
      </c>
      <c r="H20" s="321">
        <v>44561</v>
      </c>
      <c r="I20" s="493">
        <f>SUM(I21:I25)</f>
        <v>0.11499999999999999</v>
      </c>
      <c r="J20" s="322">
        <f>(AVERAGE(J21:J25)*$I$20)</f>
        <v>0</v>
      </c>
      <c r="K20" s="323">
        <f t="shared" ref="K20:U20" si="4">(AVERAGE(K21:K25)*$I$20)</f>
        <v>5.7499999999999999E-3</v>
      </c>
      <c r="L20" s="323">
        <f t="shared" si="4"/>
        <v>1.0349999999999998E-2</v>
      </c>
      <c r="M20" s="323">
        <f t="shared" si="4"/>
        <v>1.6099999999999996E-2</v>
      </c>
      <c r="N20" s="323">
        <f t="shared" si="4"/>
        <v>1.6099999999999996E-2</v>
      </c>
      <c r="O20" s="323">
        <f t="shared" si="4"/>
        <v>1.3799999999999998E-2</v>
      </c>
      <c r="P20" s="323">
        <f t="shared" si="4"/>
        <v>1.0733333333333333E-2</v>
      </c>
      <c r="Q20" s="323">
        <f t="shared" si="4"/>
        <v>8.4333333333333326E-3</v>
      </c>
      <c r="R20" s="323">
        <f t="shared" si="4"/>
        <v>8.4333333333333326E-3</v>
      </c>
      <c r="S20" s="323">
        <f t="shared" si="4"/>
        <v>8.4333333333333326E-3</v>
      </c>
      <c r="T20" s="323">
        <f t="shared" si="4"/>
        <v>8.4333333333333326E-3</v>
      </c>
      <c r="U20" s="324">
        <f t="shared" si="4"/>
        <v>8.4333333333333326E-3</v>
      </c>
      <c r="V20" s="325">
        <f t="shared" si="2"/>
        <v>0.11499999999999999</v>
      </c>
    </row>
    <row r="21" spans="1:22" ht="117" customHeight="1" x14ac:dyDescent="0.25">
      <c r="A21" s="98" t="s">
        <v>392</v>
      </c>
      <c r="B21" s="99" t="s">
        <v>393</v>
      </c>
      <c r="C21" s="99" t="s">
        <v>549</v>
      </c>
      <c r="D21" s="99" t="s">
        <v>370</v>
      </c>
      <c r="E21" s="101" t="s">
        <v>394</v>
      </c>
      <c r="F21" s="326">
        <v>1</v>
      </c>
      <c r="G21" s="327">
        <v>44228</v>
      </c>
      <c r="H21" s="328">
        <v>44469</v>
      </c>
      <c r="I21" s="494">
        <v>2.3E-2</v>
      </c>
      <c r="J21" s="329">
        <v>0</v>
      </c>
      <c r="K21" s="330">
        <v>0.2</v>
      </c>
      <c r="L21" s="330">
        <v>0.2</v>
      </c>
      <c r="M21" s="330">
        <v>0.2</v>
      </c>
      <c r="N21" s="330">
        <v>0.2</v>
      </c>
      <c r="O21" s="330">
        <v>0.2</v>
      </c>
      <c r="P21" s="330">
        <v>0</v>
      </c>
      <c r="Q21" s="330">
        <v>0</v>
      </c>
      <c r="R21" s="330">
        <v>0</v>
      </c>
      <c r="S21" s="330">
        <v>0</v>
      </c>
      <c r="T21" s="330">
        <v>0</v>
      </c>
      <c r="U21" s="331">
        <v>0</v>
      </c>
      <c r="V21" s="332">
        <f t="shared" si="2"/>
        <v>1</v>
      </c>
    </row>
    <row r="22" spans="1:22" ht="61.5" customHeight="1" x14ac:dyDescent="0.25">
      <c r="A22" s="98" t="s">
        <v>395</v>
      </c>
      <c r="B22" s="99" t="s">
        <v>393</v>
      </c>
      <c r="C22" s="99" t="s">
        <v>396</v>
      </c>
      <c r="D22" s="100" t="s">
        <v>397</v>
      </c>
      <c r="E22" s="101" t="s">
        <v>398</v>
      </c>
      <c r="F22" s="326">
        <v>1</v>
      </c>
      <c r="G22" s="327">
        <v>44228</v>
      </c>
      <c r="H22" s="328">
        <v>44377</v>
      </c>
      <c r="I22" s="494">
        <v>2.3E-2</v>
      </c>
      <c r="J22" s="329">
        <v>0</v>
      </c>
      <c r="K22" s="330">
        <v>0</v>
      </c>
      <c r="L22" s="330">
        <v>0.1</v>
      </c>
      <c r="M22" s="330">
        <v>0.3</v>
      </c>
      <c r="N22" s="330">
        <v>0.3</v>
      </c>
      <c r="O22" s="334">
        <v>0.2</v>
      </c>
      <c r="P22" s="334">
        <v>0.1</v>
      </c>
      <c r="Q22" s="330">
        <v>0</v>
      </c>
      <c r="R22" s="330">
        <v>0</v>
      </c>
      <c r="S22" s="330">
        <v>0</v>
      </c>
      <c r="T22" s="330">
        <v>0</v>
      </c>
      <c r="U22" s="331">
        <v>0</v>
      </c>
      <c r="V22" s="332">
        <f t="shared" si="2"/>
        <v>0.99999999999999989</v>
      </c>
    </row>
    <row r="23" spans="1:22" ht="61.5" customHeight="1" x14ac:dyDescent="0.25">
      <c r="A23" s="98" t="s">
        <v>399</v>
      </c>
      <c r="B23" s="99" t="s">
        <v>393</v>
      </c>
      <c r="C23" s="99" t="s">
        <v>400</v>
      </c>
      <c r="D23" s="100" t="s">
        <v>401</v>
      </c>
      <c r="E23" s="101" t="s">
        <v>402</v>
      </c>
      <c r="F23" s="326">
        <v>1</v>
      </c>
      <c r="G23" s="327">
        <v>44228</v>
      </c>
      <c r="H23" s="328">
        <v>44561</v>
      </c>
      <c r="I23" s="494">
        <v>2.3E-2</v>
      </c>
      <c r="J23" s="329">
        <v>0</v>
      </c>
      <c r="K23" s="330">
        <v>0</v>
      </c>
      <c r="L23" s="330">
        <v>0.1</v>
      </c>
      <c r="M23" s="330">
        <v>0.1</v>
      </c>
      <c r="N23" s="330">
        <v>0.1</v>
      </c>
      <c r="O23" s="330">
        <v>0.1</v>
      </c>
      <c r="P23" s="330">
        <v>0.1</v>
      </c>
      <c r="Q23" s="330">
        <v>0.1</v>
      </c>
      <c r="R23" s="330">
        <v>0.1</v>
      </c>
      <c r="S23" s="330">
        <v>0.1</v>
      </c>
      <c r="T23" s="330">
        <v>0.1</v>
      </c>
      <c r="U23" s="331">
        <v>0.1</v>
      </c>
      <c r="V23" s="332">
        <f t="shared" si="2"/>
        <v>0.99999999999999989</v>
      </c>
    </row>
    <row r="24" spans="1:22" ht="155.25" customHeight="1" x14ac:dyDescent="0.25">
      <c r="A24" s="98" t="s">
        <v>734</v>
      </c>
      <c r="B24" s="99" t="s">
        <v>393</v>
      </c>
      <c r="C24" s="99" t="s">
        <v>451</v>
      </c>
      <c r="D24" s="99" t="s">
        <v>370</v>
      </c>
      <c r="E24" s="101" t="s">
        <v>452</v>
      </c>
      <c r="F24" s="326">
        <v>1</v>
      </c>
      <c r="G24" s="327">
        <v>44228</v>
      </c>
      <c r="H24" s="328">
        <v>44561</v>
      </c>
      <c r="I24" s="494">
        <v>2.3E-2</v>
      </c>
      <c r="J24" s="329">
        <v>0</v>
      </c>
      <c r="K24" s="330">
        <v>0</v>
      </c>
      <c r="L24" s="330">
        <v>0</v>
      </c>
      <c r="M24" s="330">
        <v>0</v>
      </c>
      <c r="N24" s="330">
        <v>0</v>
      </c>
      <c r="O24" s="330">
        <v>0</v>
      </c>
      <c r="P24" s="330">
        <v>0.16666666666666666</v>
      </c>
      <c r="Q24" s="330">
        <v>0.16666666666666666</v>
      </c>
      <c r="R24" s="330">
        <v>0.16666666666666666</v>
      </c>
      <c r="S24" s="330">
        <v>0.16666666666666666</v>
      </c>
      <c r="T24" s="330">
        <v>0.16666666666666666</v>
      </c>
      <c r="U24" s="331">
        <v>0.16666666666666666</v>
      </c>
      <c r="V24" s="332">
        <f t="shared" si="2"/>
        <v>0.99999999999999989</v>
      </c>
    </row>
    <row r="25" spans="1:22" ht="50.25" customHeight="1" x14ac:dyDescent="0.25">
      <c r="A25" s="98" t="s">
        <v>735</v>
      </c>
      <c r="B25" s="99" t="s">
        <v>393</v>
      </c>
      <c r="C25" s="99" t="s">
        <v>475</v>
      </c>
      <c r="D25" s="100" t="s">
        <v>736</v>
      </c>
      <c r="E25" s="101" t="s">
        <v>476</v>
      </c>
      <c r="F25" s="326">
        <v>1</v>
      </c>
      <c r="G25" s="327">
        <v>44228</v>
      </c>
      <c r="H25" s="328">
        <v>44561</v>
      </c>
      <c r="I25" s="494">
        <v>2.3E-2</v>
      </c>
      <c r="J25" s="329">
        <v>0</v>
      </c>
      <c r="K25" s="330">
        <v>0.05</v>
      </c>
      <c r="L25" s="330">
        <v>0.05</v>
      </c>
      <c r="M25" s="330">
        <v>0.1</v>
      </c>
      <c r="N25" s="330">
        <v>0.1</v>
      </c>
      <c r="O25" s="330">
        <v>0.1</v>
      </c>
      <c r="P25" s="330">
        <v>0.1</v>
      </c>
      <c r="Q25" s="330">
        <v>0.1</v>
      </c>
      <c r="R25" s="330">
        <v>0.1</v>
      </c>
      <c r="S25" s="330">
        <v>0.1</v>
      </c>
      <c r="T25" s="330">
        <v>0.1</v>
      </c>
      <c r="U25" s="331">
        <v>0.1</v>
      </c>
      <c r="V25" s="332">
        <f t="shared" si="2"/>
        <v>0.99999999999999989</v>
      </c>
    </row>
    <row r="26" spans="1:22" ht="46.5" customHeight="1" x14ac:dyDescent="0.25">
      <c r="A26" s="243">
        <v>5</v>
      </c>
      <c r="B26" s="810" t="s">
        <v>403</v>
      </c>
      <c r="C26" s="810"/>
      <c r="D26" s="245" t="s">
        <v>375</v>
      </c>
      <c r="E26" s="244" t="s">
        <v>376</v>
      </c>
      <c r="F26" s="319">
        <v>1</v>
      </c>
      <c r="G26" s="320">
        <v>44228</v>
      </c>
      <c r="H26" s="321">
        <v>44561</v>
      </c>
      <c r="I26" s="493">
        <f>SUM(I27:I36)</f>
        <v>0.22999999999999995</v>
      </c>
      <c r="J26" s="322">
        <f>(AVERAGE(J27:J36)*$I$26)</f>
        <v>0</v>
      </c>
      <c r="K26" s="323">
        <f t="shared" ref="K26:U26" si="5">(AVERAGE(K27:K36)*$I$26)</f>
        <v>2.5299999999999993E-3</v>
      </c>
      <c r="L26" s="323">
        <f t="shared" si="5"/>
        <v>2.2079999999999995E-2</v>
      </c>
      <c r="M26" s="323">
        <f t="shared" si="5"/>
        <v>1.7479999999999996E-2</v>
      </c>
      <c r="N26" s="323">
        <f t="shared" si="5"/>
        <v>4.6229999999999986E-2</v>
      </c>
      <c r="O26" s="323">
        <f t="shared" si="5"/>
        <v>4.852999999999999E-2</v>
      </c>
      <c r="P26" s="323">
        <f t="shared" si="5"/>
        <v>1.0119999999999997E-2</v>
      </c>
      <c r="Q26" s="323">
        <f t="shared" si="5"/>
        <v>1.0119999999999997E-2</v>
      </c>
      <c r="R26" s="323">
        <f t="shared" si="5"/>
        <v>2.5069999999999999E-2</v>
      </c>
      <c r="S26" s="323">
        <f t="shared" si="5"/>
        <v>1.3569999999999997E-2</v>
      </c>
      <c r="T26" s="323">
        <f t="shared" si="5"/>
        <v>1.1269999999999999E-2</v>
      </c>
      <c r="U26" s="324">
        <f t="shared" si="5"/>
        <v>2.2999999999999996E-2</v>
      </c>
      <c r="V26" s="325">
        <f t="shared" si="2"/>
        <v>0.22999999999999995</v>
      </c>
    </row>
    <row r="27" spans="1:22" ht="61.5" customHeight="1" x14ac:dyDescent="0.25">
      <c r="A27" s="98" t="s">
        <v>404</v>
      </c>
      <c r="B27" s="99" t="s">
        <v>405</v>
      </c>
      <c r="C27" s="99" t="s">
        <v>406</v>
      </c>
      <c r="D27" s="100" t="s">
        <v>370</v>
      </c>
      <c r="E27" s="101" t="s">
        <v>407</v>
      </c>
      <c r="F27" s="326">
        <v>1</v>
      </c>
      <c r="G27" s="327">
        <v>44228</v>
      </c>
      <c r="H27" s="328">
        <v>44561</v>
      </c>
      <c r="I27" s="494">
        <v>2.3E-2</v>
      </c>
      <c r="J27" s="329">
        <v>0</v>
      </c>
      <c r="K27" s="330">
        <v>0</v>
      </c>
      <c r="L27" s="330">
        <v>0.1</v>
      </c>
      <c r="M27" s="330">
        <v>0.1</v>
      </c>
      <c r="N27" s="330">
        <v>0.1</v>
      </c>
      <c r="O27" s="330">
        <v>0.1</v>
      </c>
      <c r="P27" s="330">
        <v>0.1</v>
      </c>
      <c r="Q27" s="330">
        <v>0.1</v>
      </c>
      <c r="R27" s="330">
        <v>0.1</v>
      </c>
      <c r="S27" s="330">
        <v>0.1</v>
      </c>
      <c r="T27" s="330">
        <v>0.1</v>
      </c>
      <c r="U27" s="331">
        <v>0.1</v>
      </c>
      <c r="V27" s="332">
        <f t="shared" si="2"/>
        <v>0.99999999999999989</v>
      </c>
    </row>
    <row r="28" spans="1:22" ht="101.25" customHeight="1" x14ac:dyDescent="0.25">
      <c r="A28" s="98" t="s">
        <v>408</v>
      </c>
      <c r="B28" s="99" t="s">
        <v>409</v>
      </c>
      <c r="C28" s="99" t="s">
        <v>410</v>
      </c>
      <c r="D28" s="100" t="s">
        <v>401</v>
      </c>
      <c r="E28" s="101" t="s">
        <v>737</v>
      </c>
      <c r="F28" s="326">
        <v>1</v>
      </c>
      <c r="G28" s="327">
        <v>44228</v>
      </c>
      <c r="H28" s="328">
        <v>44377</v>
      </c>
      <c r="I28" s="494">
        <v>2.3E-2</v>
      </c>
      <c r="J28" s="329">
        <v>0</v>
      </c>
      <c r="K28" s="330">
        <v>0</v>
      </c>
      <c r="L28" s="330">
        <v>0.1</v>
      </c>
      <c r="M28" s="330">
        <v>0.2</v>
      </c>
      <c r="N28" s="330">
        <v>0.3</v>
      </c>
      <c r="O28" s="330">
        <v>0.4</v>
      </c>
      <c r="P28" s="330">
        <v>0</v>
      </c>
      <c r="Q28" s="330">
        <v>0</v>
      </c>
      <c r="R28" s="330">
        <v>0</v>
      </c>
      <c r="S28" s="330">
        <v>0</v>
      </c>
      <c r="T28" s="330">
        <v>0</v>
      </c>
      <c r="U28" s="331">
        <v>0</v>
      </c>
      <c r="V28" s="332">
        <f t="shared" si="2"/>
        <v>1</v>
      </c>
    </row>
    <row r="29" spans="1:22" ht="70.5" customHeight="1" x14ac:dyDescent="0.25">
      <c r="A29" s="98" t="s">
        <v>411</v>
      </c>
      <c r="B29" s="99" t="s">
        <v>405</v>
      </c>
      <c r="C29" s="99" t="s">
        <v>412</v>
      </c>
      <c r="D29" s="100" t="s">
        <v>401</v>
      </c>
      <c r="E29" s="101" t="s">
        <v>413</v>
      </c>
      <c r="F29" s="326">
        <v>1</v>
      </c>
      <c r="G29" s="327">
        <v>44228</v>
      </c>
      <c r="H29" s="328">
        <v>44377</v>
      </c>
      <c r="I29" s="494">
        <v>2.3E-2</v>
      </c>
      <c r="J29" s="329">
        <v>0</v>
      </c>
      <c r="K29" s="330">
        <v>0</v>
      </c>
      <c r="L29" s="330">
        <v>0</v>
      </c>
      <c r="M29" s="330">
        <v>0</v>
      </c>
      <c r="N29" s="330">
        <v>0.5</v>
      </c>
      <c r="O29" s="330">
        <v>0.5</v>
      </c>
      <c r="P29" s="330">
        <v>0</v>
      </c>
      <c r="Q29" s="330">
        <v>0</v>
      </c>
      <c r="R29" s="330">
        <v>0</v>
      </c>
      <c r="S29" s="330">
        <v>0</v>
      </c>
      <c r="T29" s="330">
        <v>0</v>
      </c>
      <c r="U29" s="331">
        <v>0</v>
      </c>
      <c r="V29" s="332">
        <f t="shared" si="2"/>
        <v>1</v>
      </c>
    </row>
    <row r="30" spans="1:22" ht="70.5" customHeight="1" x14ac:dyDescent="0.25">
      <c r="A30" s="98" t="s">
        <v>414</v>
      </c>
      <c r="B30" s="99" t="s">
        <v>405</v>
      </c>
      <c r="C30" s="99" t="s">
        <v>415</v>
      </c>
      <c r="D30" s="100" t="s">
        <v>401</v>
      </c>
      <c r="E30" s="101" t="s">
        <v>416</v>
      </c>
      <c r="F30" s="326">
        <v>1</v>
      </c>
      <c r="G30" s="327">
        <v>44228</v>
      </c>
      <c r="H30" s="328">
        <v>44561</v>
      </c>
      <c r="I30" s="494">
        <v>2.3E-2</v>
      </c>
      <c r="J30" s="329">
        <v>0</v>
      </c>
      <c r="K30" s="330">
        <v>0</v>
      </c>
      <c r="L30" s="330">
        <v>0</v>
      </c>
      <c r="M30" s="330">
        <v>0</v>
      </c>
      <c r="N30" s="330">
        <v>0.25</v>
      </c>
      <c r="O30" s="330">
        <v>0.25</v>
      </c>
      <c r="P30" s="330">
        <v>0</v>
      </c>
      <c r="Q30" s="330">
        <v>0</v>
      </c>
      <c r="R30" s="330">
        <v>0.25</v>
      </c>
      <c r="S30" s="330">
        <v>0.25</v>
      </c>
      <c r="T30" s="330">
        <v>0</v>
      </c>
      <c r="U30" s="331">
        <v>0</v>
      </c>
      <c r="V30" s="332">
        <f t="shared" si="2"/>
        <v>1</v>
      </c>
    </row>
    <row r="31" spans="1:22" ht="96" customHeight="1" x14ac:dyDescent="0.25">
      <c r="A31" s="98" t="s">
        <v>417</v>
      </c>
      <c r="B31" s="99" t="s">
        <v>418</v>
      </c>
      <c r="C31" s="99" t="s">
        <v>419</v>
      </c>
      <c r="D31" s="100" t="s">
        <v>418</v>
      </c>
      <c r="E31" s="101" t="s">
        <v>420</v>
      </c>
      <c r="F31" s="326">
        <v>1</v>
      </c>
      <c r="G31" s="327">
        <v>44228</v>
      </c>
      <c r="H31" s="328">
        <v>44561</v>
      </c>
      <c r="I31" s="494">
        <v>2.3E-2</v>
      </c>
      <c r="J31" s="329">
        <v>0</v>
      </c>
      <c r="K31" s="330">
        <v>0</v>
      </c>
      <c r="L31" s="330">
        <v>0.25</v>
      </c>
      <c r="M31" s="330">
        <v>0.25</v>
      </c>
      <c r="N31" s="330">
        <v>0.5</v>
      </c>
      <c r="O31" s="330">
        <v>0</v>
      </c>
      <c r="P31" s="330">
        <v>0</v>
      </c>
      <c r="Q31" s="330">
        <v>0</v>
      </c>
      <c r="R31" s="330">
        <v>0</v>
      </c>
      <c r="S31" s="330">
        <v>0</v>
      </c>
      <c r="T31" s="330">
        <v>0</v>
      </c>
      <c r="U31" s="331">
        <v>0</v>
      </c>
      <c r="V31" s="332">
        <f t="shared" si="2"/>
        <v>1</v>
      </c>
    </row>
    <row r="32" spans="1:22" ht="135.75" customHeight="1" x14ac:dyDescent="0.25">
      <c r="A32" s="98" t="s">
        <v>421</v>
      </c>
      <c r="B32" s="99" t="s">
        <v>418</v>
      </c>
      <c r="C32" s="99" t="s">
        <v>738</v>
      </c>
      <c r="D32" s="100" t="s">
        <v>422</v>
      </c>
      <c r="E32" s="101" t="s">
        <v>739</v>
      </c>
      <c r="F32" s="326">
        <v>1</v>
      </c>
      <c r="G32" s="327">
        <v>44228</v>
      </c>
      <c r="H32" s="328">
        <v>44561</v>
      </c>
      <c r="I32" s="494">
        <v>2.3E-2</v>
      </c>
      <c r="J32" s="329">
        <v>0</v>
      </c>
      <c r="K32" s="330">
        <v>0.02</v>
      </c>
      <c r="L32" s="330">
        <v>7.0000000000000007E-2</v>
      </c>
      <c r="M32" s="330">
        <v>0.12</v>
      </c>
      <c r="N32" s="330">
        <v>0.12</v>
      </c>
      <c r="O32" s="330">
        <v>0.12</v>
      </c>
      <c r="P32" s="330">
        <v>0.1</v>
      </c>
      <c r="Q32" s="330">
        <v>0.1</v>
      </c>
      <c r="R32" s="330">
        <v>0.1</v>
      </c>
      <c r="S32" s="330">
        <v>0.1</v>
      </c>
      <c r="T32" s="330">
        <v>0.1</v>
      </c>
      <c r="U32" s="331">
        <v>0.05</v>
      </c>
      <c r="V32" s="332">
        <f t="shared" si="2"/>
        <v>1</v>
      </c>
    </row>
    <row r="33" spans="1:22" ht="88.5" customHeight="1" x14ac:dyDescent="0.25">
      <c r="A33" s="98" t="s">
        <v>423</v>
      </c>
      <c r="B33" s="99" t="s">
        <v>418</v>
      </c>
      <c r="C33" s="99" t="s">
        <v>550</v>
      </c>
      <c r="D33" s="100" t="s">
        <v>418</v>
      </c>
      <c r="E33" s="101" t="s">
        <v>424</v>
      </c>
      <c r="F33" s="326">
        <v>1</v>
      </c>
      <c r="G33" s="327">
        <v>44228</v>
      </c>
      <c r="H33" s="328">
        <v>44286</v>
      </c>
      <c r="I33" s="494">
        <v>2.3E-2</v>
      </c>
      <c r="J33" s="329">
        <v>0</v>
      </c>
      <c r="K33" s="330">
        <v>0</v>
      </c>
      <c r="L33" s="330">
        <v>0.1</v>
      </c>
      <c r="M33" s="330">
        <v>0</v>
      </c>
      <c r="N33" s="330">
        <v>0.15</v>
      </c>
      <c r="O33" s="330">
        <v>0.15</v>
      </c>
      <c r="P33" s="330">
        <v>0.15</v>
      </c>
      <c r="Q33" s="330">
        <v>0.15</v>
      </c>
      <c r="R33" s="330">
        <v>0.05</v>
      </c>
      <c r="S33" s="330">
        <v>0.05</v>
      </c>
      <c r="T33" s="330">
        <v>0.2</v>
      </c>
      <c r="U33" s="331">
        <v>0</v>
      </c>
      <c r="V33" s="332">
        <f t="shared" si="2"/>
        <v>1.0000000000000002</v>
      </c>
    </row>
    <row r="34" spans="1:22" ht="48" customHeight="1" x14ac:dyDescent="0.25">
      <c r="A34" s="98" t="s">
        <v>425</v>
      </c>
      <c r="B34" s="99" t="s">
        <v>426</v>
      </c>
      <c r="C34" s="99" t="s">
        <v>427</v>
      </c>
      <c r="D34" s="100" t="s">
        <v>428</v>
      </c>
      <c r="E34" s="101" t="s">
        <v>429</v>
      </c>
      <c r="F34" s="326">
        <v>1</v>
      </c>
      <c r="G34" s="327">
        <v>44228</v>
      </c>
      <c r="H34" s="328">
        <v>44561</v>
      </c>
      <c r="I34" s="494">
        <v>2.3E-2</v>
      </c>
      <c r="J34" s="329">
        <v>0</v>
      </c>
      <c r="K34" s="330">
        <v>0</v>
      </c>
      <c r="L34" s="330">
        <v>0</v>
      </c>
      <c r="M34" s="330">
        <v>0</v>
      </c>
      <c r="N34" s="330">
        <v>0</v>
      </c>
      <c r="O34" s="330">
        <v>0.25</v>
      </c>
      <c r="P34" s="330">
        <v>0</v>
      </c>
      <c r="Q34" s="330">
        <v>0</v>
      </c>
      <c r="R34" s="330">
        <v>0.25</v>
      </c>
      <c r="S34" s="330">
        <v>0</v>
      </c>
      <c r="T34" s="330">
        <v>0</v>
      </c>
      <c r="U34" s="331">
        <v>0.5</v>
      </c>
      <c r="V34" s="332">
        <f t="shared" si="2"/>
        <v>1</v>
      </c>
    </row>
    <row r="35" spans="1:22" ht="66" customHeight="1" x14ac:dyDescent="0.25">
      <c r="A35" s="98" t="s">
        <v>430</v>
      </c>
      <c r="B35" s="99" t="s">
        <v>418</v>
      </c>
      <c r="C35" s="99" t="s">
        <v>740</v>
      </c>
      <c r="D35" s="100" t="s">
        <v>741</v>
      </c>
      <c r="E35" s="101" t="s">
        <v>742</v>
      </c>
      <c r="F35" s="326">
        <v>1</v>
      </c>
      <c r="G35" s="327">
        <v>44228</v>
      </c>
      <c r="H35" s="328">
        <v>44561</v>
      </c>
      <c r="I35" s="494">
        <v>2.3E-2</v>
      </c>
      <c r="J35" s="329">
        <v>0</v>
      </c>
      <c r="K35" s="330">
        <v>0</v>
      </c>
      <c r="L35" s="330">
        <v>0.25</v>
      </c>
      <c r="M35" s="330">
        <v>0</v>
      </c>
      <c r="N35" s="330">
        <v>0</v>
      </c>
      <c r="O35" s="330">
        <v>0.25</v>
      </c>
      <c r="P35" s="330">
        <v>0</v>
      </c>
      <c r="Q35" s="330">
        <v>0</v>
      </c>
      <c r="R35" s="330">
        <v>0.25</v>
      </c>
      <c r="S35" s="330">
        <v>0</v>
      </c>
      <c r="T35" s="330">
        <v>0</v>
      </c>
      <c r="U35" s="331">
        <v>0.25</v>
      </c>
      <c r="V35" s="332">
        <f t="shared" si="2"/>
        <v>1</v>
      </c>
    </row>
    <row r="36" spans="1:22" ht="66" customHeight="1" x14ac:dyDescent="0.25">
      <c r="A36" s="98" t="s">
        <v>431</v>
      </c>
      <c r="B36" s="99" t="s">
        <v>432</v>
      </c>
      <c r="C36" s="99" t="s">
        <v>433</v>
      </c>
      <c r="D36" s="100" t="s">
        <v>434</v>
      </c>
      <c r="E36" s="101" t="s">
        <v>551</v>
      </c>
      <c r="F36" s="326">
        <v>1</v>
      </c>
      <c r="G36" s="327">
        <v>44228</v>
      </c>
      <c r="H36" s="328">
        <v>44561</v>
      </c>
      <c r="I36" s="494">
        <v>2.3E-2</v>
      </c>
      <c r="J36" s="329">
        <v>0</v>
      </c>
      <c r="K36" s="330">
        <v>0.09</v>
      </c>
      <c r="L36" s="330">
        <v>0.09</v>
      </c>
      <c r="M36" s="330">
        <v>0.09</v>
      </c>
      <c r="N36" s="330">
        <v>0.09</v>
      </c>
      <c r="O36" s="330">
        <v>0.09</v>
      </c>
      <c r="P36" s="330">
        <v>0.09</v>
      </c>
      <c r="Q36" s="330">
        <v>0.09</v>
      </c>
      <c r="R36" s="330">
        <v>0.09</v>
      </c>
      <c r="S36" s="330">
        <v>0.09</v>
      </c>
      <c r="T36" s="330">
        <v>0.09</v>
      </c>
      <c r="U36" s="331">
        <v>0.1</v>
      </c>
      <c r="V36" s="332">
        <f t="shared" si="2"/>
        <v>0.99999999999999978</v>
      </c>
    </row>
    <row r="37" spans="1:22" ht="71.25" customHeight="1" x14ac:dyDescent="0.25">
      <c r="A37" s="243">
        <v>6</v>
      </c>
      <c r="B37" s="810" t="s">
        <v>435</v>
      </c>
      <c r="C37" s="810"/>
      <c r="D37" s="245" t="s">
        <v>375</v>
      </c>
      <c r="E37" s="244" t="s">
        <v>376</v>
      </c>
      <c r="F37" s="337">
        <v>1</v>
      </c>
      <c r="G37" s="320">
        <v>44228</v>
      </c>
      <c r="H37" s="321">
        <v>44561</v>
      </c>
      <c r="I37" s="493">
        <f>SUM(I38:I39)</f>
        <v>4.5999999999999999E-2</v>
      </c>
      <c r="J37" s="322">
        <f>AVERAGE(J38:J39)*$I$37</f>
        <v>0</v>
      </c>
      <c r="K37" s="323">
        <f t="shared" ref="K37:U37" si="6">AVERAGE(K38:K39)*$I$37</f>
        <v>0</v>
      </c>
      <c r="L37" s="323">
        <f t="shared" si="6"/>
        <v>0</v>
      </c>
      <c r="M37" s="323">
        <f t="shared" si="6"/>
        <v>5.7499999999999999E-3</v>
      </c>
      <c r="N37" s="323">
        <f t="shared" si="6"/>
        <v>0</v>
      </c>
      <c r="O37" s="323">
        <f t="shared" si="6"/>
        <v>0</v>
      </c>
      <c r="P37" s="323">
        <f t="shared" si="6"/>
        <v>5.7499999999999999E-3</v>
      </c>
      <c r="Q37" s="323">
        <f t="shared" si="6"/>
        <v>6.8999999999999999E-3</v>
      </c>
      <c r="R37" s="323">
        <f t="shared" si="6"/>
        <v>6.8999999999999999E-3</v>
      </c>
      <c r="S37" s="323">
        <f t="shared" si="6"/>
        <v>1.495E-2</v>
      </c>
      <c r="T37" s="323">
        <f t="shared" si="6"/>
        <v>0</v>
      </c>
      <c r="U37" s="324">
        <f t="shared" si="6"/>
        <v>5.7499999999999999E-3</v>
      </c>
      <c r="V37" s="325">
        <f t="shared" si="2"/>
        <v>4.5999999999999999E-2</v>
      </c>
    </row>
    <row r="38" spans="1:22" ht="71.25" customHeight="1" x14ac:dyDescent="0.25">
      <c r="A38" s="98" t="s">
        <v>436</v>
      </c>
      <c r="B38" s="99" t="s">
        <v>437</v>
      </c>
      <c r="C38" s="99" t="s">
        <v>743</v>
      </c>
      <c r="D38" s="99" t="s">
        <v>401</v>
      </c>
      <c r="E38" s="101" t="s">
        <v>438</v>
      </c>
      <c r="F38" s="326">
        <v>1</v>
      </c>
      <c r="G38" s="327">
        <v>44228</v>
      </c>
      <c r="H38" s="328">
        <v>44561</v>
      </c>
      <c r="I38" s="494">
        <v>2.3E-2</v>
      </c>
      <c r="J38" s="329">
        <v>0</v>
      </c>
      <c r="K38" s="330">
        <v>0</v>
      </c>
      <c r="L38" s="330">
        <v>0</v>
      </c>
      <c r="M38" s="330">
        <v>0.25</v>
      </c>
      <c r="N38" s="330">
        <v>0</v>
      </c>
      <c r="O38" s="330">
        <v>0</v>
      </c>
      <c r="P38" s="330">
        <v>0.25</v>
      </c>
      <c r="Q38" s="330">
        <v>0</v>
      </c>
      <c r="R38" s="330">
        <v>0</v>
      </c>
      <c r="S38" s="330">
        <v>0.25</v>
      </c>
      <c r="T38" s="330">
        <v>0</v>
      </c>
      <c r="U38" s="331">
        <v>0.25</v>
      </c>
      <c r="V38" s="332">
        <f t="shared" si="2"/>
        <v>1</v>
      </c>
    </row>
    <row r="39" spans="1:22" ht="132" customHeight="1" x14ac:dyDescent="0.25">
      <c r="A39" s="98" t="s">
        <v>439</v>
      </c>
      <c r="B39" s="99" t="s">
        <v>437</v>
      </c>
      <c r="C39" s="99" t="s">
        <v>440</v>
      </c>
      <c r="D39" s="100" t="s">
        <v>370</v>
      </c>
      <c r="E39" s="101" t="s">
        <v>441</v>
      </c>
      <c r="F39" s="326">
        <v>1</v>
      </c>
      <c r="G39" s="327">
        <v>44228</v>
      </c>
      <c r="H39" s="328">
        <v>44561</v>
      </c>
      <c r="I39" s="494">
        <v>2.3E-2</v>
      </c>
      <c r="J39" s="329">
        <v>0</v>
      </c>
      <c r="K39" s="330">
        <v>0</v>
      </c>
      <c r="L39" s="330">
        <v>0</v>
      </c>
      <c r="M39" s="330">
        <v>0</v>
      </c>
      <c r="N39" s="330">
        <v>0</v>
      </c>
      <c r="O39" s="330">
        <v>0</v>
      </c>
      <c r="P39" s="330">
        <v>0</v>
      </c>
      <c r="Q39" s="330">
        <v>0.3</v>
      </c>
      <c r="R39" s="330">
        <v>0.3</v>
      </c>
      <c r="S39" s="330">
        <v>0.4</v>
      </c>
      <c r="T39" s="330">
        <v>0</v>
      </c>
      <c r="U39" s="331">
        <v>0</v>
      </c>
      <c r="V39" s="332">
        <f t="shared" si="2"/>
        <v>1</v>
      </c>
    </row>
    <row r="40" spans="1:22" ht="66.75" customHeight="1" x14ac:dyDescent="0.25">
      <c r="A40" s="243">
        <v>7</v>
      </c>
      <c r="B40" s="810" t="s">
        <v>442</v>
      </c>
      <c r="C40" s="810"/>
      <c r="D40" s="245" t="s">
        <v>375</v>
      </c>
      <c r="E40" s="244" t="s">
        <v>376</v>
      </c>
      <c r="F40" s="337">
        <v>1</v>
      </c>
      <c r="G40" s="320">
        <v>44228</v>
      </c>
      <c r="H40" s="321">
        <v>44561</v>
      </c>
      <c r="I40" s="493">
        <f>SUM(I41:I44)</f>
        <v>9.1999999999999998E-2</v>
      </c>
      <c r="J40" s="322">
        <f>AVERAGE(J41:J44)*$I$40</f>
        <v>0</v>
      </c>
      <c r="K40" s="323">
        <f t="shared" ref="K40:U40" si="7">AVERAGE(K41:K44)*$I$40</f>
        <v>0</v>
      </c>
      <c r="L40" s="323">
        <f t="shared" si="7"/>
        <v>6.8999999999999999E-3</v>
      </c>
      <c r="M40" s="323">
        <f t="shared" si="7"/>
        <v>8.0499999999999999E-3</v>
      </c>
      <c r="N40" s="323">
        <f t="shared" si="7"/>
        <v>8.0499999999999999E-3</v>
      </c>
      <c r="O40" s="323">
        <f t="shared" si="7"/>
        <v>4.5999999999999999E-3</v>
      </c>
      <c r="P40" s="323">
        <f t="shared" si="7"/>
        <v>4.5999999999999999E-3</v>
      </c>
      <c r="Q40" s="323">
        <f t="shared" si="7"/>
        <v>2.1849999999999998E-2</v>
      </c>
      <c r="R40" s="323">
        <f t="shared" si="7"/>
        <v>1.9549999999999998E-2</v>
      </c>
      <c r="S40" s="323">
        <f t="shared" si="7"/>
        <v>9.1999999999999998E-3</v>
      </c>
      <c r="T40" s="323">
        <f t="shared" si="7"/>
        <v>8.0499999999999999E-3</v>
      </c>
      <c r="U40" s="324">
        <f t="shared" si="7"/>
        <v>1.15E-3</v>
      </c>
      <c r="V40" s="325">
        <f t="shared" si="2"/>
        <v>9.1999999999999998E-2</v>
      </c>
    </row>
    <row r="41" spans="1:22" ht="72" customHeight="1" x14ac:dyDescent="0.25">
      <c r="A41" s="98" t="s">
        <v>443</v>
      </c>
      <c r="B41" s="99" t="s">
        <v>444</v>
      </c>
      <c r="C41" s="99" t="s">
        <v>445</v>
      </c>
      <c r="D41" s="99" t="s">
        <v>401</v>
      </c>
      <c r="E41" s="101" t="s">
        <v>446</v>
      </c>
      <c r="F41" s="326">
        <v>1</v>
      </c>
      <c r="G41" s="327">
        <v>44228</v>
      </c>
      <c r="H41" s="328">
        <v>44438</v>
      </c>
      <c r="I41" s="494">
        <v>2.3E-2</v>
      </c>
      <c r="J41" s="329">
        <v>0</v>
      </c>
      <c r="K41" s="330">
        <v>0</v>
      </c>
      <c r="L41" s="330">
        <v>0.25</v>
      </c>
      <c r="M41" s="330">
        <v>0.25</v>
      </c>
      <c r="N41" s="330">
        <v>0.25</v>
      </c>
      <c r="O41" s="334">
        <v>0.05</v>
      </c>
      <c r="P41" s="334">
        <v>0.1</v>
      </c>
      <c r="Q41" s="334">
        <v>0.1</v>
      </c>
      <c r="R41" s="330">
        <v>0</v>
      </c>
      <c r="S41" s="330">
        <v>0</v>
      </c>
      <c r="T41" s="330">
        <v>0</v>
      </c>
      <c r="U41" s="331">
        <v>0</v>
      </c>
      <c r="V41" s="332">
        <f t="shared" si="2"/>
        <v>1</v>
      </c>
    </row>
    <row r="42" spans="1:22" ht="105" customHeight="1" x14ac:dyDescent="0.25">
      <c r="A42" s="98" t="s">
        <v>447</v>
      </c>
      <c r="B42" s="99" t="s">
        <v>444</v>
      </c>
      <c r="C42" s="99" t="s">
        <v>448</v>
      </c>
      <c r="D42" s="100" t="s">
        <v>401</v>
      </c>
      <c r="E42" s="101" t="s">
        <v>449</v>
      </c>
      <c r="F42" s="326">
        <v>1</v>
      </c>
      <c r="G42" s="327">
        <v>44228</v>
      </c>
      <c r="H42" s="328">
        <v>44561</v>
      </c>
      <c r="I42" s="494">
        <v>2.3E-2</v>
      </c>
      <c r="J42" s="329">
        <v>0</v>
      </c>
      <c r="K42" s="330">
        <v>0</v>
      </c>
      <c r="L42" s="330">
        <v>0</v>
      </c>
      <c r="M42" s="330">
        <v>0</v>
      </c>
      <c r="N42" s="330">
        <v>0</v>
      </c>
      <c r="O42" s="330">
        <v>0</v>
      </c>
      <c r="P42" s="330">
        <v>0</v>
      </c>
      <c r="Q42" s="330">
        <v>0.25</v>
      </c>
      <c r="R42" s="330">
        <v>0.25</v>
      </c>
      <c r="S42" s="330">
        <v>0.25</v>
      </c>
      <c r="T42" s="330">
        <v>0.25</v>
      </c>
      <c r="U42" s="331">
        <v>0</v>
      </c>
      <c r="V42" s="332">
        <f t="shared" si="2"/>
        <v>1</v>
      </c>
    </row>
    <row r="43" spans="1:22" ht="72" customHeight="1" x14ac:dyDescent="0.25">
      <c r="A43" s="98" t="s">
        <v>450</v>
      </c>
      <c r="B43" s="99" t="s">
        <v>444</v>
      </c>
      <c r="C43" s="99" t="s">
        <v>454</v>
      </c>
      <c r="D43" s="100" t="s">
        <v>401</v>
      </c>
      <c r="E43" s="101" t="s">
        <v>455</v>
      </c>
      <c r="F43" s="326">
        <v>1</v>
      </c>
      <c r="G43" s="327">
        <v>44228</v>
      </c>
      <c r="H43" s="328">
        <v>44561</v>
      </c>
      <c r="I43" s="494">
        <v>2.3E-2</v>
      </c>
      <c r="J43" s="329">
        <v>0</v>
      </c>
      <c r="K43" s="330">
        <v>0</v>
      </c>
      <c r="L43" s="330">
        <v>0</v>
      </c>
      <c r="M43" s="330">
        <v>0</v>
      </c>
      <c r="N43" s="330">
        <v>0</v>
      </c>
      <c r="O43" s="330">
        <v>0</v>
      </c>
      <c r="P43" s="330">
        <v>0</v>
      </c>
      <c r="Q43" s="330">
        <v>0.5</v>
      </c>
      <c r="R43" s="330">
        <v>0.5</v>
      </c>
      <c r="S43" s="330">
        <v>0</v>
      </c>
      <c r="T43" s="330">
        <v>0</v>
      </c>
      <c r="U43" s="331">
        <v>0</v>
      </c>
      <c r="V43" s="332">
        <f t="shared" si="2"/>
        <v>1</v>
      </c>
    </row>
    <row r="44" spans="1:22" ht="72" customHeight="1" x14ac:dyDescent="0.25">
      <c r="A44" s="98" t="s">
        <v>453</v>
      </c>
      <c r="B44" s="338" t="s">
        <v>444</v>
      </c>
      <c r="C44" s="338" t="s">
        <v>744</v>
      </c>
      <c r="D44" s="339" t="s">
        <v>745</v>
      </c>
      <c r="E44" s="340" t="s">
        <v>746</v>
      </c>
      <c r="F44" s="341">
        <v>1</v>
      </c>
      <c r="G44" s="342">
        <v>44228</v>
      </c>
      <c r="H44" s="343">
        <v>44561</v>
      </c>
      <c r="I44" s="494">
        <v>2.3E-2</v>
      </c>
      <c r="J44" s="329">
        <v>0</v>
      </c>
      <c r="K44" s="330">
        <v>0</v>
      </c>
      <c r="L44" s="330">
        <v>0.05</v>
      </c>
      <c r="M44" s="330">
        <v>0.1</v>
      </c>
      <c r="N44" s="330">
        <v>0.1</v>
      </c>
      <c r="O44" s="330">
        <v>0.15</v>
      </c>
      <c r="P44" s="330">
        <v>0.1</v>
      </c>
      <c r="Q44" s="330">
        <v>0.1</v>
      </c>
      <c r="R44" s="330">
        <v>0.1</v>
      </c>
      <c r="S44" s="330">
        <v>0.15</v>
      </c>
      <c r="T44" s="330">
        <v>0.1</v>
      </c>
      <c r="U44" s="331">
        <v>0.05</v>
      </c>
      <c r="V44" s="332">
        <f t="shared" si="2"/>
        <v>1</v>
      </c>
    </row>
    <row r="45" spans="1:22" ht="68.25" customHeight="1" x14ac:dyDescent="0.25">
      <c r="A45" s="243">
        <v>8</v>
      </c>
      <c r="B45" s="810" t="s">
        <v>456</v>
      </c>
      <c r="C45" s="810"/>
      <c r="D45" s="245" t="s">
        <v>375</v>
      </c>
      <c r="E45" s="244" t="s">
        <v>376</v>
      </c>
      <c r="F45" s="337">
        <v>1</v>
      </c>
      <c r="G45" s="320">
        <v>44228</v>
      </c>
      <c r="H45" s="321">
        <v>44561</v>
      </c>
      <c r="I45" s="493">
        <f>SUM(I46:I48)</f>
        <v>6.9000000000000006E-2</v>
      </c>
      <c r="J45" s="322">
        <f>AVERAGE(J46:J48)*$I$45</f>
        <v>0</v>
      </c>
      <c r="K45" s="323">
        <f t="shared" ref="K45:U45" si="8">AVERAGE(K46:K48)*$I$45</f>
        <v>9.2000000000000014E-4</v>
      </c>
      <c r="L45" s="323">
        <f t="shared" si="8"/>
        <v>6.9000000000000016E-3</v>
      </c>
      <c r="M45" s="323">
        <f t="shared" si="8"/>
        <v>6.9000000000000016E-3</v>
      </c>
      <c r="N45" s="323">
        <f t="shared" si="8"/>
        <v>8.9700000000000005E-3</v>
      </c>
      <c r="O45" s="323">
        <f t="shared" si="8"/>
        <v>1.771E-2</v>
      </c>
      <c r="P45" s="323">
        <f t="shared" si="8"/>
        <v>4.5999999999999999E-3</v>
      </c>
      <c r="Q45" s="323">
        <f t="shared" si="8"/>
        <v>4.5999999999999999E-3</v>
      </c>
      <c r="R45" s="323">
        <f t="shared" si="8"/>
        <v>4.5999999999999999E-3</v>
      </c>
      <c r="S45" s="323">
        <f t="shared" si="8"/>
        <v>4.5999999999999999E-3</v>
      </c>
      <c r="T45" s="323">
        <f t="shared" si="8"/>
        <v>4.5999999999999999E-3</v>
      </c>
      <c r="U45" s="324">
        <f t="shared" si="8"/>
        <v>4.5999999999999999E-3</v>
      </c>
      <c r="V45" s="325">
        <f t="shared" si="2"/>
        <v>6.9000000000000006E-2</v>
      </c>
    </row>
    <row r="46" spans="1:22" ht="94.5" customHeight="1" x14ac:dyDescent="0.25">
      <c r="A46" s="98" t="s">
        <v>457</v>
      </c>
      <c r="B46" s="99" t="s">
        <v>458</v>
      </c>
      <c r="C46" s="99" t="s">
        <v>459</v>
      </c>
      <c r="D46" s="99" t="s">
        <v>401</v>
      </c>
      <c r="E46" s="101" t="s">
        <v>460</v>
      </c>
      <c r="F46" s="326">
        <v>1</v>
      </c>
      <c r="G46" s="327">
        <v>44228</v>
      </c>
      <c r="H46" s="328">
        <v>44561</v>
      </c>
      <c r="I46" s="494">
        <v>2.3E-2</v>
      </c>
      <c r="J46" s="329">
        <v>0</v>
      </c>
      <c r="K46" s="330">
        <v>0</v>
      </c>
      <c r="L46" s="330">
        <v>0.1</v>
      </c>
      <c r="M46" s="330">
        <v>0.1</v>
      </c>
      <c r="N46" s="330">
        <v>0.1</v>
      </c>
      <c r="O46" s="330">
        <v>0.1</v>
      </c>
      <c r="P46" s="330">
        <v>0.1</v>
      </c>
      <c r="Q46" s="330">
        <v>0.1</v>
      </c>
      <c r="R46" s="330">
        <v>0.1</v>
      </c>
      <c r="S46" s="330">
        <v>0.1</v>
      </c>
      <c r="T46" s="330">
        <v>0.1</v>
      </c>
      <c r="U46" s="331">
        <v>0.1</v>
      </c>
      <c r="V46" s="332">
        <f t="shared" si="2"/>
        <v>0.99999999999999989</v>
      </c>
    </row>
    <row r="47" spans="1:22" ht="123.75" customHeight="1" x14ac:dyDescent="0.25">
      <c r="A47" s="98" t="s">
        <v>461</v>
      </c>
      <c r="B47" s="99" t="s">
        <v>458</v>
      </c>
      <c r="C47" s="99" t="s">
        <v>462</v>
      </c>
      <c r="D47" s="99" t="s">
        <v>401</v>
      </c>
      <c r="E47" s="101" t="s">
        <v>747</v>
      </c>
      <c r="F47" s="326">
        <v>1</v>
      </c>
      <c r="G47" s="327">
        <v>44228</v>
      </c>
      <c r="H47" s="328">
        <v>44561</v>
      </c>
      <c r="I47" s="494">
        <v>2.3E-2</v>
      </c>
      <c r="J47" s="329">
        <v>0</v>
      </c>
      <c r="K47" s="330">
        <v>0</v>
      </c>
      <c r="L47" s="330">
        <v>0.1</v>
      </c>
      <c r="M47" s="330">
        <v>0.1</v>
      </c>
      <c r="N47" s="330">
        <v>0.1</v>
      </c>
      <c r="O47" s="330">
        <v>0.1</v>
      </c>
      <c r="P47" s="330">
        <v>0.1</v>
      </c>
      <c r="Q47" s="330">
        <v>0.1</v>
      </c>
      <c r="R47" s="330">
        <v>0.1</v>
      </c>
      <c r="S47" s="330">
        <v>0.1</v>
      </c>
      <c r="T47" s="330">
        <v>0.1</v>
      </c>
      <c r="U47" s="331">
        <v>0.1</v>
      </c>
      <c r="V47" s="332">
        <f t="shared" si="2"/>
        <v>0.99999999999999989</v>
      </c>
    </row>
    <row r="48" spans="1:22" ht="63" customHeight="1" x14ac:dyDescent="0.25">
      <c r="A48" s="98" t="s">
        <v>463</v>
      </c>
      <c r="B48" s="99" t="s">
        <v>458</v>
      </c>
      <c r="C48" s="99" t="s">
        <v>748</v>
      </c>
      <c r="D48" s="100" t="s">
        <v>380</v>
      </c>
      <c r="E48" s="101" t="s">
        <v>552</v>
      </c>
      <c r="F48" s="326">
        <v>1</v>
      </c>
      <c r="G48" s="327">
        <v>44228</v>
      </c>
      <c r="H48" s="328">
        <v>44561</v>
      </c>
      <c r="I48" s="494">
        <v>2.3E-2</v>
      </c>
      <c r="J48" s="333">
        <v>0</v>
      </c>
      <c r="K48" s="334">
        <v>0.04</v>
      </c>
      <c r="L48" s="334">
        <v>0.1</v>
      </c>
      <c r="M48" s="334">
        <v>0.1</v>
      </c>
      <c r="N48" s="334">
        <v>0.19</v>
      </c>
      <c r="O48" s="334">
        <v>0.57000000000000006</v>
      </c>
      <c r="P48" s="334">
        <v>0</v>
      </c>
      <c r="Q48" s="334">
        <v>0</v>
      </c>
      <c r="R48" s="334">
        <v>0</v>
      </c>
      <c r="S48" s="334">
        <v>0</v>
      </c>
      <c r="T48" s="334">
        <v>0</v>
      </c>
      <c r="U48" s="335">
        <v>0</v>
      </c>
      <c r="V48" s="332">
        <f t="shared" si="2"/>
        <v>1</v>
      </c>
    </row>
    <row r="49" spans="1:22" ht="73.5" customHeight="1" x14ac:dyDescent="0.25">
      <c r="A49" s="243">
        <v>9</v>
      </c>
      <c r="B49" s="810" t="s">
        <v>464</v>
      </c>
      <c r="C49" s="810"/>
      <c r="D49" s="245" t="s">
        <v>465</v>
      </c>
      <c r="E49" s="244" t="s">
        <v>376</v>
      </c>
      <c r="F49" s="319">
        <v>1</v>
      </c>
      <c r="G49" s="320">
        <v>44228</v>
      </c>
      <c r="H49" s="321">
        <v>44561</v>
      </c>
      <c r="I49" s="493">
        <f>SUM(I50:I55)</f>
        <v>0.13799999999999998</v>
      </c>
      <c r="J49" s="322">
        <f>AVERAGE(J50:J55)*$I$49</f>
        <v>0</v>
      </c>
      <c r="K49" s="323">
        <f t="shared" ref="K49:U49" si="9">AVERAGE(K50:K55)*$I$49</f>
        <v>0</v>
      </c>
      <c r="L49" s="323">
        <f t="shared" si="9"/>
        <v>9.1999999999999981E-3</v>
      </c>
      <c r="M49" s="323">
        <f t="shared" si="9"/>
        <v>1.0349999999999998E-2</v>
      </c>
      <c r="N49" s="323">
        <f t="shared" si="9"/>
        <v>8.5099999999999985E-3</v>
      </c>
      <c r="O49" s="323">
        <f t="shared" si="9"/>
        <v>1.4259999999999998E-2</v>
      </c>
      <c r="P49" s="323">
        <f t="shared" si="9"/>
        <v>2.925599999999999E-2</v>
      </c>
      <c r="Q49" s="323">
        <f t="shared" si="9"/>
        <v>2.3505999999999999E-2</v>
      </c>
      <c r="R49" s="323">
        <f t="shared" si="9"/>
        <v>7.4059999999999994E-3</v>
      </c>
      <c r="S49" s="323">
        <f t="shared" si="9"/>
        <v>6.2559999999999994E-3</v>
      </c>
      <c r="T49" s="323">
        <f t="shared" si="9"/>
        <v>1.2005999999999999E-2</v>
      </c>
      <c r="U49" s="324">
        <f t="shared" si="9"/>
        <v>1.7249999999999998E-2</v>
      </c>
      <c r="V49" s="325">
        <f t="shared" si="2"/>
        <v>0.13799999999999998</v>
      </c>
    </row>
    <row r="50" spans="1:22" ht="73.5" customHeight="1" x14ac:dyDescent="0.25">
      <c r="A50" s="98" t="s">
        <v>466</v>
      </c>
      <c r="B50" s="99" t="s">
        <v>467</v>
      </c>
      <c r="C50" s="99" t="s">
        <v>749</v>
      </c>
      <c r="D50" s="100" t="s">
        <v>468</v>
      </c>
      <c r="E50" s="101" t="s">
        <v>750</v>
      </c>
      <c r="F50" s="326">
        <v>1</v>
      </c>
      <c r="G50" s="327">
        <v>44378</v>
      </c>
      <c r="H50" s="328">
        <v>44439</v>
      </c>
      <c r="I50" s="494">
        <v>2.3E-2</v>
      </c>
      <c r="J50" s="329">
        <v>0</v>
      </c>
      <c r="K50" s="330">
        <v>0</v>
      </c>
      <c r="L50" s="330">
        <v>0</v>
      </c>
      <c r="M50" s="330">
        <v>0</v>
      </c>
      <c r="N50" s="330">
        <v>0</v>
      </c>
      <c r="O50" s="330">
        <v>0</v>
      </c>
      <c r="P50" s="330">
        <v>0.5</v>
      </c>
      <c r="Q50" s="330">
        <v>0.5</v>
      </c>
      <c r="R50" s="330">
        <v>0</v>
      </c>
      <c r="S50" s="330">
        <v>0</v>
      </c>
      <c r="T50" s="330">
        <v>0</v>
      </c>
      <c r="U50" s="331">
        <v>0</v>
      </c>
      <c r="V50" s="332">
        <f t="shared" si="2"/>
        <v>1</v>
      </c>
    </row>
    <row r="51" spans="1:22" ht="73.5" customHeight="1" x14ac:dyDescent="0.25">
      <c r="A51" s="98" t="s">
        <v>469</v>
      </c>
      <c r="B51" s="99" t="s">
        <v>467</v>
      </c>
      <c r="C51" s="99" t="s">
        <v>751</v>
      </c>
      <c r="D51" s="100" t="s">
        <v>468</v>
      </c>
      <c r="E51" s="101" t="s">
        <v>752</v>
      </c>
      <c r="F51" s="326">
        <v>1</v>
      </c>
      <c r="G51" s="327">
        <v>44287</v>
      </c>
      <c r="H51" s="328">
        <v>44561</v>
      </c>
      <c r="I51" s="494">
        <v>2.3E-2</v>
      </c>
      <c r="J51" s="329">
        <v>0</v>
      </c>
      <c r="K51" s="330">
        <v>0</v>
      </c>
      <c r="L51" s="330">
        <v>0</v>
      </c>
      <c r="M51" s="330">
        <v>0.25</v>
      </c>
      <c r="N51" s="330">
        <v>0.25</v>
      </c>
      <c r="O51" s="330">
        <v>0</v>
      </c>
      <c r="P51" s="330">
        <v>0</v>
      </c>
      <c r="Q51" s="330">
        <v>0.25</v>
      </c>
      <c r="R51" s="330">
        <v>0.25</v>
      </c>
      <c r="S51" s="330">
        <v>0</v>
      </c>
      <c r="T51" s="330">
        <v>0</v>
      </c>
      <c r="U51" s="331">
        <v>0</v>
      </c>
      <c r="V51" s="332">
        <f t="shared" si="2"/>
        <v>1</v>
      </c>
    </row>
    <row r="52" spans="1:22" ht="73.5" customHeight="1" x14ac:dyDescent="0.25">
      <c r="A52" s="98" t="s">
        <v>473</v>
      </c>
      <c r="B52" s="99" t="s">
        <v>467</v>
      </c>
      <c r="C52" s="99" t="s">
        <v>753</v>
      </c>
      <c r="D52" s="100" t="s">
        <v>468</v>
      </c>
      <c r="E52" s="101" t="s">
        <v>754</v>
      </c>
      <c r="F52" s="326">
        <v>1</v>
      </c>
      <c r="G52" s="327">
        <v>44228</v>
      </c>
      <c r="H52" s="328">
        <v>44561</v>
      </c>
      <c r="I52" s="494">
        <v>2.3E-2</v>
      </c>
      <c r="J52" s="329">
        <v>0</v>
      </c>
      <c r="K52" s="330">
        <v>0</v>
      </c>
      <c r="L52" s="330">
        <v>0.2</v>
      </c>
      <c r="M52" s="330">
        <v>0</v>
      </c>
      <c r="N52" s="330">
        <v>0</v>
      </c>
      <c r="O52" s="330">
        <v>0</v>
      </c>
      <c r="P52" s="330">
        <v>0.2</v>
      </c>
      <c r="Q52" s="330">
        <v>0.2</v>
      </c>
      <c r="R52" s="330">
        <v>0</v>
      </c>
      <c r="S52" s="330">
        <v>0.2</v>
      </c>
      <c r="T52" s="330">
        <v>0.2</v>
      </c>
      <c r="U52" s="331">
        <v>0</v>
      </c>
      <c r="V52" s="332">
        <f t="shared" si="2"/>
        <v>1</v>
      </c>
    </row>
    <row r="53" spans="1:22" ht="73.5" customHeight="1" x14ac:dyDescent="0.25">
      <c r="A53" s="98" t="s">
        <v>474</v>
      </c>
      <c r="B53" s="99" t="s">
        <v>467</v>
      </c>
      <c r="C53" s="99" t="s">
        <v>470</v>
      </c>
      <c r="D53" s="100" t="s">
        <v>471</v>
      </c>
      <c r="E53" s="101" t="s">
        <v>472</v>
      </c>
      <c r="F53" s="326">
        <v>1</v>
      </c>
      <c r="G53" s="327">
        <v>44228</v>
      </c>
      <c r="H53" s="328">
        <v>44530</v>
      </c>
      <c r="I53" s="494">
        <v>2.3E-2</v>
      </c>
      <c r="J53" s="333">
        <v>0</v>
      </c>
      <c r="K53" s="334">
        <v>0</v>
      </c>
      <c r="L53" s="334">
        <v>0.2</v>
      </c>
      <c r="M53" s="334">
        <v>0.2</v>
      </c>
      <c r="N53" s="334">
        <v>0.12</v>
      </c>
      <c r="O53" s="334">
        <v>0.12</v>
      </c>
      <c r="P53" s="334">
        <v>7.1999999999999995E-2</v>
      </c>
      <c r="Q53" s="334">
        <v>7.1999999999999995E-2</v>
      </c>
      <c r="R53" s="334">
        <v>7.1999999999999995E-2</v>
      </c>
      <c r="S53" s="334">
        <v>7.1999999999999995E-2</v>
      </c>
      <c r="T53" s="334">
        <v>7.1999999999999995E-2</v>
      </c>
      <c r="U53" s="335">
        <v>0</v>
      </c>
      <c r="V53" s="344">
        <f t="shared" si="2"/>
        <v>0.99999999999999978</v>
      </c>
    </row>
    <row r="54" spans="1:22" ht="72.75" customHeight="1" x14ac:dyDescent="0.25">
      <c r="A54" s="98" t="s">
        <v>755</v>
      </c>
      <c r="B54" s="99" t="s">
        <v>467</v>
      </c>
      <c r="C54" s="99" t="s">
        <v>756</v>
      </c>
      <c r="D54" s="100" t="s">
        <v>468</v>
      </c>
      <c r="E54" s="101" t="s">
        <v>413</v>
      </c>
      <c r="F54" s="326">
        <v>1</v>
      </c>
      <c r="G54" s="327">
        <v>44228</v>
      </c>
      <c r="H54" s="328">
        <v>44561</v>
      </c>
      <c r="I54" s="494">
        <v>2.3E-2</v>
      </c>
      <c r="J54" s="329">
        <v>0</v>
      </c>
      <c r="K54" s="330">
        <v>0</v>
      </c>
      <c r="L54" s="330">
        <v>0</v>
      </c>
      <c r="M54" s="330">
        <v>0</v>
      </c>
      <c r="N54" s="330">
        <v>0</v>
      </c>
      <c r="O54" s="330">
        <v>0</v>
      </c>
      <c r="P54" s="330">
        <v>0</v>
      </c>
      <c r="Q54" s="330">
        <v>0</v>
      </c>
      <c r="R54" s="330">
        <v>0</v>
      </c>
      <c r="S54" s="330">
        <v>0</v>
      </c>
      <c r="T54" s="330">
        <v>0.25</v>
      </c>
      <c r="U54" s="331">
        <v>0.75</v>
      </c>
      <c r="V54" s="332">
        <f t="shared" si="2"/>
        <v>1</v>
      </c>
    </row>
    <row r="55" spans="1:22" ht="72.75" customHeight="1" thickBot="1" x14ac:dyDescent="0.3">
      <c r="A55" s="103" t="s">
        <v>757</v>
      </c>
      <c r="B55" s="104" t="s">
        <v>467</v>
      </c>
      <c r="C55" s="104" t="s">
        <v>758</v>
      </c>
      <c r="D55" s="105" t="s">
        <v>468</v>
      </c>
      <c r="E55" s="106" t="s">
        <v>759</v>
      </c>
      <c r="F55" s="345">
        <v>1</v>
      </c>
      <c r="G55" s="346">
        <v>44228</v>
      </c>
      <c r="H55" s="347">
        <v>44561</v>
      </c>
      <c r="I55" s="495">
        <v>2.3E-2</v>
      </c>
      <c r="J55" s="348">
        <v>0</v>
      </c>
      <c r="K55" s="349">
        <v>0</v>
      </c>
      <c r="L55" s="349">
        <v>0</v>
      </c>
      <c r="M55" s="349">
        <v>0</v>
      </c>
      <c r="N55" s="349">
        <v>0</v>
      </c>
      <c r="O55" s="349">
        <v>0.5</v>
      </c>
      <c r="P55" s="349">
        <v>0.5</v>
      </c>
      <c r="Q55" s="349">
        <v>0</v>
      </c>
      <c r="R55" s="349">
        <v>0</v>
      </c>
      <c r="S55" s="349">
        <v>0</v>
      </c>
      <c r="T55" s="349">
        <v>0</v>
      </c>
      <c r="U55" s="350">
        <v>0</v>
      </c>
      <c r="V55" s="351">
        <f t="shared" si="2"/>
        <v>1</v>
      </c>
    </row>
    <row r="56" spans="1:22" ht="11.25" customHeight="1" x14ac:dyDescent="0.25">
      <c r="A56" s="107"/>
      <c r="B56" s="108"/>
      <c r="C56" s="109"/>
      <c r="D56" s="109"/>
      <c r="E56" s="110"/>
      <c r="F56" s="110"/>
      <c r="G56" s="110"/>
      <c r="H56" s="110"/>
      <c r="I56" s="110"/>
    </row>
    <row r="57" spans="1:22" ht="11.25" customHeight="1" x14ac:dyDescent="0.25">
      <c r="A57" s="352"/>
      <c r="B57" s="353"/>
      <c r="J57" s="117"/>
      <c r="K57" s="117"/>
      <c r="L57" s="117"/>
      <c r="M57" s="117"/>
      <c r="N57" s="117"/>
      <c r="O57" s="117"/>
      <c r="P57" s="117"/>
      <c r="Q57" s="117"/>
      <c r="R57" s="117"/>
      <c r="S57" s="117"/>
      <c r="T57" s="117"/>
      <c r="U57" s="117"/>
      <c r="V57" s="117"/>
    </row>
    <row r="58" spans="1:22" ht="11.25" customHeight="1" x14ac:dyDescent="0.25">
      <c r="A58" s="352"/>
      <c r="B58" s="353"/>
      <c r="J58" s="117"/>
      <c r="K58" s="117"/>
      <c r="L58" s="117"/>
      <c r="M58" s="117"/>
      <c r="N58" s="117"/>
      <c r="O58" s="117"/>
      <c r="P58" s="117"/>
      <c r="Q58" s="117"/>
      <c r="R58" s="117"/>
      <c r="S58" s="117"/>
      <c r="T58" s="117"/>
      <c r="U58" s="117"/>
      <c r="V58" s="117"/>
    </row>
    <row r="59" spans="1:22" ht="11.25" customHeight="1" x14ac:dyDescent="0.25">
      <c r="A59" s="352"/>
      <c r="B59" s="353"/>
      <c r="J59" s="117"/>
      <c r="K59" s="117"/>
      <c r="L59" s="117"/>
      <c r="M59" s="117"/>
      <c r="N59" s="117"/>
      <c r="O59" s="117"/>
      <c r="P59" s="117"/>
      <c r="Q59" s="117"/>
      <c r="R59" s="117"/>
      <c r="S59" s="117"/>
      <c r="T59" s="117"/>
      <c r="U59" s="117"/>
      <c r="V59" s="117"/>
    </row>
    <row r="60" spans="1:22" ht="16.5" customHeight="1" x14ac:dyDescent="0.25">
      <c r="A60" s="352"/>
      <c r="B60" s="353"/>
      <c r="J60" s="117"/>
      <c r="K60" s="117"/>
      <c r="L60" s="117"/>
      <c r="M60" s="117"/>
      <c r="N60" s="117"/>
      <c r="O60" s="117"/>
      <c r="P60" s="117"/>
      <c r="Q60" s="117"/>
      <c r="R60" s="117"/>
      <c r="S60" s="117"/>
      <c r="T60" s="117"/>
      <c r="U60" s="117"/>
      <c r="V60" s="117"/>
    </row>
    <row r="61" spans="1:22" ht="12.75" hidden="1" customHeight="1" x14ac:dyDescent="0.25">
      <c r="A61" s="107"/>
      <c r="B61" s="108"/>
      <c r="C61" s="111"/>
      <c r="D61" s="111"/>
      <c r="E61" s="112"/>
      <c r="F61" s="112"/>
      <c r="G61" s="102"/>
      <c r="H61" s="102"/>
      <c r="I61" s="102"/>
    </row>
    <row r="62" spans="1:22" ht="12.75" hidden="1" customHeight="1" x14ac:dyDescent="0.25">
      <c r="A62" s="102"/>
      <c r="B62" s="94"/>
      <c r="C62" s="94"/>
      <c r="D62" s="94"/>
      <c r="E62" s="102"/>
      <c r="F62" s="102"/>
    </row>
    <row r="63" spans="1:22" ht="12.75" hidden="1" customHeight="1" x14ac:dyDescent="0.25"/>
    <row r="64" spans="1:22" ht="12.75" hidden="1" customHeight="1" x14ac:dyDescent="0.25"/>
    <row r="65" spans="1:9" ht="12.75" hidden="1" customHeight="1" x14ac:dyDescent="0.25"/>
    <row r="66" spans="1:9" ht="12.75" hidden="1" customHeight="1" x14ac:dyDescent="0.25"/>
    <row r="67" spans="1:9" ht="12.75" hidden="1" customHeight="1" x14ac:dyDescent="0.25"/>
    <row r="68" spans="1:9" ht="12.75" hidden="1" customHeight="1" x14ac:dyDescent="0.25"/>
    <row r="69" spans="1:9" ht="12.75" hidden="1" customHeight="1" x14ac:dyDescent="0.25"/>
    <row r="70" spans="1:9" ht="12.75" hidden="1" customHeight="1" x14ac:dyDescent="0.25"/>
    <row r="71" spans="1:9" ht="12.75" hidden="1" customHeight="1" x14ac:dyDescent="0.25"/>
    <row r="72" spans="1:9" ht="12.75" hidden="1" customHeight="1" x14ac:dyDescent="0.25"/>
    <row r="73" spans="1:9" ht="12.75" hidden="1" customHeight="1" x14ac:dyDescent="0.25"/>
    <row r="74" spans="1:9" ht="12.75" hidden="1" customHeight="1" x14ac:dyDescent="0.25"/>
    <row r="75" spans="1:9" ht="12.75" hidden="1" customHeight="1" x14ac:dyDescent="0.25"/>
    <row r="76" spans="1:9" ht="12.75" hidden="1" customHeight="1" x14ac:dyDescent="0.25"/>
    <row r="77" spans="1:9" ht="12.75" hidden="1" customHeight="1" x14ac:dyDescent="0.25">
      <c r="G77" s="114"/>
      <c r="H77" s="114"/>
      <c r="I77" s="114"/>
    </row>
    <row r="78" spans="1:9" ht="12.75" hidden="1" customHeight="1" x14ac:dyDescent="0.25">
      <c r="A78" s="117"/>
      <c r="C78" s="115"/>
      <c r="D78" s="115"/>
      <c r="E78" s="114"/>
      <c r="F78" s="114"/>
      <c r="G78" s="114"/>
      <c r="H78" s="114"/>
      <c r="I78" s="114"/>
    </row>
    <row r="79" spans="1:9" ht="12.75" hidden="1" customHeight="1" x14ac:dyDescent="0.25">
      <c r="A79" s="117"/>
      <c r="C79" s="115"/>
      <c r="D79" s="115"/>
      <c r="E79" s="114"/>
      <c r="F79" s="114"/>
      <c r="G79" s="114"/>
      <c r="H79" s="114"/>
      <c r="I79" s="114"/>
    </row>
    <row r="80" spans="1:9" ht="12.75" hidden="1" customHeight="1" x14ac:dyDescent="0.25">
      <c r="A80" s="117"/>
      <c r="C80" s="115"/>
      <c r="D80" s="115"/>
      <c r="E80" s="114"/>
      <c r="F80" s="114"/>
      <c r="G80" s="114"/>
      <c r="H80" s="114"/>
      <c r="I80" s="114"/>
    </row>
    <row r="81" spans="1:9" ht="12.75" hidden="1" customHeight="1" x14ac:dyDescent="0.25">
      <c r="A81" s="117"/>
      <c r="C81" s="115"/>
      <c r="D81" s="115"/>
      <c r="E81" s="114"/>
      <c r="F81" s="114"/>
      <c r="G81" s="114"/>
      <c r="H81" s="114"/>
      <c r="I81" s="114"/>
    </row>
    <row r="82" spans="1:9" ht="12.75" hidden="1" customHeight="1" x14ac:dyDescent="0.25">
      <c r="A82" s="117"/>
      <c r="C82" s="115"/>
      <c r="D82" s="115"/>
      <c r="E82" s="114"/>
      <c r="F82" s="114"/>
      <c r="G82" s="114"/>
      <c r="H82" s="114"/>
      <c r="I82" s="114"/>
    </row>
    <row r="83" spans="1:9" ht="12.75" hidden="1" customHeight="1" x14ac:dyDescent="0.25">
      <c r="A83" s="117"/>
      <c r="C83" s="115"/>
      <c r="D83" s="115"/>
      <c r="E83" s="114"/>
      <c r="F83" s="114"/>
      <c r="G83" s="114"/>
      <c r="H83" s="114"/>
      <c r="I83" s="114"/>
    </row>
    <row r="84" spans="1:9" ht="12.75" hidden="1" customHeight="1" x14ac:dyDescent="0.25">
      <c r="A84" s="117"/>
      <c r="C84" s="115"/>
      <c r="D84" s="115"/>
      <c r="E84" s="114"/>
      <c r="F84" s="114"/>
      <c r="G84" s="114"/>
      <c r="H84" s="114"/>
      <c r="I84" s="114"/>
    </row>
    <row r="85" spans="1:9" ht="12.75" hidden="1" customHeight="1" x14ac:dyDescent="0.25">
      <c r="A85" s="117"/>
      <c r="C85" s="115"/>
      <c r="D85" s="115"/>
      <c r="E85" s="114"/>
      <c r="F85" s="114"/>
      <c r="G85" s="114"/>
      <c r="H85" s="114"/>
      <c r="I85" s="114"/>
    </row>
    <row r="86" spans="1:9" ht="12.75" hidden="1" customHeight="1" x14ac:dyDescent="0.25">
      <c r="A86" s="117"/>
      <c r="C86" s="115"/>
      <c r="D86" s="115"/>
      <c r="E86" s="114"/>
      <c r="F86" s="114"/>
      <c r="G86" s="114"/>
      <c r="H86" s="114"/>
      <c r="I86" s="114"/>
    </row>
    <row r="87" spans="1:9" ht="12.75" hidden="1" customHeight="1" x14ac:dyDescent="0.25">
      <c r="A87" s="117"/>
      <c r="C87" s="115"/>
      <c r="D87" s="115"/>
      <c r="E87" s="114"/>
      <c r="F87" s="114"/>
      <c r="G87" s="114"/>
      <c r="H87" s="114"/>
      <c r="I87" s="114"/>
    </row>
    <row r="88" spans="1:9" ht="12.75" hidden="1" customHeight="1" x14ac:dyDescent="0.25">
      <c r="A88" s="117"/>
      <c r="C88" s="115"/>
      <c r="D88" s="115"/>
      <c r="E88" s="114"/>
      <c r="F88" s="114"/>
      <c r="G88" s="114"/>
      <c r="H88" s="114"/>
      <c r="I88" s="114"/>
    </row>
    <row r="89" spans="1:9" ht="12.75" hidden="1" customHeight="1" x14ac:dyDescent="0.25">
      <c r="A89" s="117"/>
      <c r="C89" s="115"/>
      <c r="D89" s="115"/>
      <c r="E89" s="114"/>
      <c r="F89" s="114"/>
      <c r="G89" s="114"/>
      <c r="H89" s="114"/>
      <c r="I89" s="114"/>
    </row>
    <row r="90" spans="1:9" ht="12.75" hidden="1" customHeight="1" x14ac:dyDescent="0.25">
      <c r="A90" s="117"/>
      <c r="C90" s="115"/>
      <c r="D90" s="115"/>
      <c r="E90" s="114"/>
      <c r="F90" s="114"/>
      <c r="G90" s="114"/>
      <c r="H90" s="114"/>
      <c r="I90" s="114"/>
    </row>
    <row r="91" spans="1:9" ht="0" hidden="1" customHeight="1" x14ac:dyDescent="0.25">
      <c r="A91" s="117"/>
      <c r="C91" s="115"/>
      <c r="D91" s="115"/>
      <c r="E91" s="114"/>
      <c r="F91" s="114"/>
    </row>
  </sheetData>
  <autoFilter ref="A10:V55" xr:uid="{8F2060C7-C1EA-4E0E-B05F-E21A11DAA9CA}"/>
  <mergeCells count="24">
    <mergeCell ref="B49:C49"/>
    <mergeCell ref="B13:C13"/>
    <mergeCell ref="B20:C20"/>
    <mergeCell ref="B26:C26"/>
    <mergeCell ref="B37:C37"/>
    <mergeCell ref="B40:C40"/>
    <mergeCell ref="B45:C45"/>
    <mergeCell ref="A8:H8"/>
    <mergeCell ref="J8:U8"/>
    <mergeCell ref="V8:V9"/>
    <mergeCell ref="A9:A10"/>
    <mergeCell ref="B9:B10"/>
    <mergeCell ref="C9:C10"/>
    <mergeCell ref="D9:D10"/>
    <mergeCell ref="E9:E10"/>
    <mergeCell ref="F9:F10"/>
    <mergeCell ref="G9:H9"/>
    <mergeCell ref="A6:B6"/>
    <mergeCell ref="C6:H6"/>
    <mergeCell ref="A1:H2"/>
    <mergeCell ref="A4:C4"/>
    <mergeCell ref="D4:H4"/>
    <mergeCell ref="A5:B5"/>
    <mergeCell ref="C5:H5"/>
  </mergeCells>
  <pageMargins left="0.39370078740157483" right="0.39370078740157483" top="0.39370078740157483" bottom="0.39370078740157483" header="0.39370078740157483" footer="0.31496062992125984"/>
  <pageSetup paperSize="169" scale="60" orientation="landscape" r:id="rId1"/>
  <headerFooter>
    <oddFooter xml:space="preserve">&amp;C&amp;8&amp;P/&amp;N&amp;R&amp;8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6"/>
  <sheetViews>
    <sheetView zoomScale="80" zoomScaleNormal="80" workbookViewId="0">
      <selection activeCell="C6" sqref="C6:H6"/>
    </sheetView>
  </sheetViews>
  <sheetFormatPr baseColWidth="10" defaultColWidth="0" defaultRowHeight="0" customHeight="1" zeroHeight="1" x14ac:dyDescent="0.25"/>
  <cols>
    <col min="1" max="1" width="2.42578125" style="118" customWidth="1"/>
    <col min="2" max="2" width="4.42578125" style="174" customWidth="1"/>
    <col min="3" max="3" width="30" style="175" customWidth="1"/>
    <col min="4" max="4" width="21.85546875" style="175" customWidth="1"/>
    <col min="5" max="5" width="30" style="175" customWidth="1"/>
    <col min="6" max="6" width="21.42578125" style="122" customWidth="1"/>
    <col min="7" max="8" width="13.42578125" style="122" customWidth="1"/>
    <col min="9" max="9" width="13.7109375" style="122" customWidth="1"/>
    <col min="10" max="10" width="58.42578125" style="173" customWidth="1"/>
    <col min="11" max="11" width="4.28515625" style="118" customWidth="1"/>
    <col min="12" max="12" width="0" style="122" hidden="1" customWidth="1"/>
    <col min="13" max="16384" width="11.42578125" style="122" hidden="1"/>
  </cols>
  <sheetData>
    <row r="1" spans="1:11" ht="18.75" customHeight="1" x14ac:dyDescent="0.25">
      <c r="B1" s="119"/>
      <c r="C1" s="119"/>
      <c r="D1" s="120"/>
      <c r="E1" s="120"/>
      <c r="F1" s="120"/>
      <c r="G1" s="120"/>
      <c r="H1" s="120"/>
      <c r="I1" s="120"/>
      <c r="J1" s="121"/>
    </row>
    <row r="2" spans="1:11" ht="18.75" customHeight="1" x14ac:dyDescent="0.25">
      <c r="B2" s="123"/>
      <c r="C2" s="811" t="s">
        <v>477</v>
      </c>
      <c r="D2" s="811"/>
      <c r="E2" s="811"/>
      <c r="F2" s="811"/>
      <c r="G2" s="811"/>
      <c r="H2" s="811"/>
      <c r="I2" s="811"/>
      <c r="J2" s="811"/>
    </row>
    <row r="3" spans="1:11" ht="18.75" customHeight="1" x14ac:dyDescent="0.25">
      <c r="B3" s="123"/>
      <c r="C3" s="124"/>
      <c r="D3" s="125"/>
      <c r="E3" s="124"/>
      <c r="F3" s="126"/>
      <c r="G3" s="127"/>
      <c r="H3" s="128"/>
      <c r="I3" s="128"/>
      <c r="J3" s="129"/>
    </row>
    <row r="4" spans="1:11" ht="29.25" customHeight="1" x14ac:dyDescent="0.25">
      <c r="B4" s="123"/>
      <c r="C4" s="130" t="s">
        <v>478</v>
      </c>
      <c r="D4" s="812" t="s">
        <v>479</v>
      </c>
      <c r="E4" s="812"/>
      <c r="F4" s="812"/>
      <c r="G4" s="812"/>
      <c r="H4" s="812"/>
      <c r="I4" s="812"/>
      <c r="J4" s="812"/>
    </row>
    <row r="5" spans="1:11" ht="6.75" customHeight="1" x14ac:dyDescent="0.25">
      <c r="B5" s="123"/>
      <c r="C5" s="131"/>
      <c r="D5" s="132"/>
      <c r="E5" s="124"/>
      <c r="F5" s="133"/>
      <c r="G5" s="133"/>
      <c r="H5" s="133"/>
      <c r="I5" s="133"/>
      <c r="J5" s="129"/>
    </row>
    <row r="6" spans="1:11" ht="17.25" customHeight="1" x14ac:dyDescent="0.25">
      <c r="B6" s="123"/>
      <c r="C6" s="130" t="s">
        <v>480</v>
      </c>
      <c r="D6" s="812">
        <v>1</v>
      </c>
      <c r="E6" s="812"/>
      <c r="F6" s="812"/>
      <c r="G6" s="812"/>
      <c r="H6" s="812"/>
      <c r="I6" s="134"/>
      <c r="J6" s="134"/>
    </row>
    <row r="7" spans="1:11" ht="8.25" customHeight="1" x14ac:dyDescent="0.25">
      <c r="B7" s="123"/>
      <c r="C7" s="135"/>
      <c r="D7" s="135"/>
      <c r="E7" s="135"/>
      <c r="F7" s="136"/>
      <c r="G7" s="136"/>
      <c r="H7" s="136"/>
      <c r="I7" s="136"/>
      <c r="J7" s="129"/>
    </row>
    <row r="8" spans="1:11" ht="18" customHeight="1" x14ac:dyDescent="0.25">
      <c r="B8" s="123"/>
      <c r="C8" s="130" t="s">
        <v>481</v>
      </c>
      <c r="D8" s="813">
        <v>44225</v>
      </c>
      <c r="E8" s="812"/>
      <c r="F8" s="812"/>
      <c r="G8" s="812"/>
      <c r="H8" s="812"/>
      <c r="I8" s="134"/>
      <c r="J8" s="134"/>
    </row>
    <row r="9" spans="1:11" ht="8.25" customHeight="1" thickBot="1" x14ac:dyDescent="0.3">
      <c r="B9" s="123"/>
      <c r="C9" s="137"/>
      <c r="D9" s="137"/>
      <c r="E9" s="137"/>
      <c r="F9" s="138"/>
      <c r="G9" s="138"/>
      <c r="H9" s="138"/>
      <c r="I9" s="138"/>
      <c r="J9" s="139"/>
    </row>
    <row r="10" spans="1:11" ht="18" customHeight="1" x14ac:dyDescent="0.25">
      <c r="B10" s="814" t="s">
        <v>357</v>
      </c>
      <c r="C10" s="815"/>
      <c r="D10" s="815"/>
      <c r="E10" s="815"/>
      <c r="F10" s="815"/>
      <c r="G10" s="815"/>
      <c r="H10" s="815"/>
      <c r="I10" s="815"/>
      <c r="J10" s="816"/>
    </row>
    <row r="11" spans="1:11" ht="18" customHeight="1" x14ac:dyDescent="0.25">
      <c r="B11" s="828" t="s">
        <v>358</v>
      </c>
      <c r="C11" s="818" t="s">
        <v>360</v>
      </c>
      <c r="D11" s="818" t="s">
        <v>361</v>
      </c>
      <c r="E11" s="818" t="s">
        <v>362</v>
      </c>
      <c r="F11" s="818" t="s">
        <v>363</v>
      </c>
      <c r="G11" s="818" t="s">
        <v>364</v>
      </c>
      <c r="H11" s="818"/>
      <c r="I11" s="246" t="s">
        <v>365</v>
      </c>
      <c r="J11" s="819" t="s">
        <v>29</v>
      </c>
    </row>
    <row r="12" spans="1:11" s="141" customFormat="1" ht="18" customHeight="1" thickBot="1" x14ac:dyDescent="0.3">
      <c r="A12" s="140"/>
      <c r="B12" s="829"/>
      <c r="C12" s="830"/>
      <c r="D12" s="830"/>
      <c r="E12" s="830"/>
      <c r="F12" s="830"/>
      <c r="G12" s="247" t="s">
        <v>366</v>
      </c>
      <c r="H12" s="247" t="s">
        <v>367</v>
      </c>
      <c r="I12" s="257">
        <f>SUM(I13:I15)</f>
        <v>1</v>
      </c>
      <c r="J12" s="820"/>
      <c r="K12" s="140"/>
    </row>
    <row r="13" spans="1:11" s="141" customFormat="1" ht="60.75" customHeight="1" x14ac:dyDescent="0.25">
      <c r="A13" s="140"/>
      <c r="B13" s="142">
        <v>1</v>
      </c>
      <c r="C13" s="143" t="s">
        <v>482</v>
      </c>
      <c r="D13" s="143" t="s">
        <v>483</v>
      </c>
      <c r="E13" s="143" t="s">
        <v>484</v>
      </c>
      <c r="F13" s="144">
        <v>0.9</v>
      </c>
      <c r="G13" s="145">
        <v>44228</v>
      </c>
      <c r="H13" s="145">
        <v>44561</v>
      </c>
      <c r="I13" s="144">
        <v>0.5</v>
      </c>
      <c r="J13" s="146" t="s">
        <v>485</v>
      </c>
      <c r="K13" s="140"/>
    </row>
    <row r="14" spans="1:11" s="141" customFormat="1" ht="60.75" customHeight="1" x14ac:dyDescent="0.25">
      <c r="A14" s="140"/>
      <c r="B14" s="147">
        <v>2</v>
      </c>
      <c r="C14" s="148" t="s">
        <v>486</v>
      </c>
      <c r="D14" s="149" t="s">
        <v>483</v>
      </c>
      <c r="E14" s="149" t="s">
        <v>484</v>
      </c>
      <c r="F14" s="150">
        <v>0.9</v>
      </c>
      <c r="G14" s="151">
        <v>44228</v>
      </c>
      <c r="H14" s="151">
        <v>44561</v>
      </c>
      <c r="I14" s="150">
        <v>0.5</v>
      </c>
      <c r="J14" s="152" t="s">
        <v>485</v>
      </c>
      <c r="K14" s="140"/>
    </row>
    <row r="15" spans="1:11" s="141" customFormat="1" ht="22.5" customHeight="1" thickBot="1" x14ac:dyDescent="0.3">
      <c r="A15" s="140"/>
      <c r="B15" s="153"/>
      <c r="C15" s="154"/>
      <c r="D15" s="155"/>
      <c r="E15" s="156"/>
      <c r="F15" s="156"/>
      <c r="G15" s="157"/>
      <c r="H15" s="157"/>
      <c r="I15" s="158"/>
      <c r="J15" s="159"/>
      <c r="K15" s="140"/>
    </row>
    <row r="16" spans="1:11" s="141" customFormat="1" ht="33" customHeight="1" thickBot="1" x14ac:dyDescent="0.3">
      <c r="A16" s="140"/>
      <c r="B16" s="821" t="s">
        <v>487</v>
      </c>
      <c r="C16" s="821"/>
      <c r="D16" s="821"/>
      <c r="E16" s="821"/>
      <c r="F16" s="821"/>
      <c r="G16" s="821"/>
      <c r="H16" s="821"/>
      <c r="I16" s="821"/>
      <c r="J16" s="821"/>
      <c r="K16" s="140"/>
    </row>
    <row r="17" spans="1:11" s="141" customFormat="1" ht="21.75" customHeight="1" x14ac:dyDescent="0.25">
      <c r="A17" s="140"/>
      <c r="B17" s="160"/>
      <c r="C17" s="822" t="s">
        <v>488</v>
      </c>
      <c r="D17" s="823"/>
      <c r="E17" s="823"/>
      <c r="F17" s="824"/>
      <c r="G17" s="161"/>
      <c r="H17" s="161"/>
      <c r="I17" s="161"/>
      <c r="J17" s="162"/>
      <c r="K17" s="140"/>
    </row>
    <row r="18" spans="1:11" s="141" customFormat="1" ht="21.75" customHeight="1" x14ac:dyDescent="0.25">
      <c r="A18" s="140"/>
      <c r="B18" s="160"/>
      <c r="C18" s="248" t="s">
        <v>355</v>
      </c>
      <c r="D18" s="825" t="s">
        <v>489</v>
      </c>
      <c r="E18" s="825"/>
      <c r="F18" s="249" t="s">
        <v>490</v>
      </c>
      <c r="G18" s="161"/>
      <c r="H18" s="161"/>
      <c r="I18" s="161"/>
      <c r="J18" s="162"/>
      <c r="K18" s="140"/>
    </row>
    <row r="19" spans="1:11" s="141" customFormat="1" ht="28.5" customHeight="1" x14ac:dyDescent="0.2">
      <c r="A19" s="140"/>
      <c r="B19" s="160"/>
      <c r="C19" s="163">
        <v>1</v>
      </c>
      <c r="D19" s="826" t="s">
        <v>491</v>
      </c>
      <c r="E19" s="827"/>
      <c r="F19" s="164">
        <v>44225</v>
      </c>
      <c r="G19" s="161"/>
      <c r="H19" s="161"/>
      <c r="I19" s="161"/>
      <c r="J19" s="162"/>
      <c r="K19" s="140"/>
    </row>
    <row r="20" spans="1:11" s="141" customFormat="1" ht="28.5" customHeight="1" thickBot="1" x14ac:dyDescent="0.3">
      <c r="A20" s="140"/>
      <c r="B20" s="160"/>
      <c r="C20" s="165"/>
      <c r="D20" s="817"/>
      <c r="E20" s="817"/>
      <c r="F20" s="166"/>
      <c r="G20" s="161"/>
      <c r="H20" s="161"/>
      <c r="I20" s="161"/>
      <c r="J20" s="162"/>
      <c r="K20" s="140"/>
    </row>
    <row r="21" spans="1:11" s="141" customFormat="1" ht="33" customHeight="1" x14ac:dyDescent="0.25">
      <c r="A21" s="140"/>
      <c r="B21" s="160"/>
      <c r="C21" s="167"/>
      <c r="D21" s="167"/>
      <c r="E21" s="160"/>
      <c r="F21" s="160"/>
      <c r="G21" s="161"/>
      <c r="H21" s="161"/>
      <c r="I21" s="161"/>
      <c r="J21" s="162"/>
      <c r="K21" s="140"/>
    </row>
    <row r="22" spans="1:11" s="141" customFormat="1" ht="33" hidden="1" customHeight="1" x14ac:dyDescent="0.25">
      <c r="A22" s="140"/>
      <c r="B22" s="160"/>
      <c r="C22" s="167"/>
      <c r="D22" s="167"/>
      <c r="E22" s="160"/>
      <c r="F22" s="160"/>
      <c r="G22" s="161"/>
      <c r="H22" s="161"/>
      <c r="I22" s="161"/>
      <c r="J22" s="162"/>
      <c r="K22" s="140"/>
    </row>
    <row r="23" spans="1:11" s="141" customFormat="1" ht="33" hidden="1" customHeight="1" x14ac:dyDescent="0.25">
      <c r="A23" s="140"/>
      <c r="B23" s="160"/>
      <c r="C23" s="167"/>
      <c r="D23" s="167"/>
      <c r="E23" s="160"/>
      <c r="F23" s="160"/>
      <c r="G23" s="161"/>
      <c r="H23" s="161"/>
      <c r="I23" s="161"/>
      <c r="J23" s="162"/>
      <c r="K23" s="140"/>
    </row>
    <row r="24" spans="1:11" s="141" customFormat="1" ht="33" hidden="1" customHeight="1" x14ac:dyDescent="0.25">
      <c r="A24" s="140"/>
      <c r="B24" s="160"/>
      <c r="C24" s="167"/>
      <c r="D24" s="167"/>
      <c r="E24" s="160"/>
      <c r="F24" s="160"/>
      <c r="G24" s="161"/>
      <c r="H24" s="161"/>
      <c r="I24" s="161"/>
      <c r="J24" s="162"/>
      <c r="K24" s="140"/>
    </row>
    <row r="25" spans="1:11" s="141" customFormat="1" ht="6.75" hidden="1" customHeight="1" x14ac:dyDescent="0.25">
      <c r="A25" s="140"/>
      <c r="B25" s="168"/>
      <c r="C25" s="162"/>
      <c r="D25" s="162"/>
      <c r="E25" s="160"/>
      <c r="F25" s="160"/>
      <c r="G25" s="168"/>
      <c r="H25" s="168"/>
      <c r="I25" s="168"/>
      <c r="J25" s="162"/>
      <c r="K25" s="140"/>
    </row>
    <row r="26" spans="1:11" ht="42.75" hidden="1" customHeight="1" x14ac:dyDescent="0.25">
      <c r="B26" s="169"/>
      <c r="C26" s="170"/>
      <c r="D26" s="170"/>
      <c r="E26" s="171"/>
      <c r="F26" s="172"/>
      <c r="G26" s="141"/>
      <c r="H26" s="141"/>
      <c r="I26" s="141"/>
    </row>
    <row r="27" spans="1:11" ht="16.5" hidden="1" customHeight="1" x14ac:dyDescent="0.25">
      <c r="C27" s="122"/>
      <c r="D27" s="122"/>
      <c r="E27" s="122"/>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9"/>
  <sheetViews>
    <sheetView zoomScale="80" zoomScaleNormal="80" workbookViewId="0">
      <selection activeCell="C6" sqref="C6:H6"/>
    </sheetView>
  </sheetViews>
  <sheetFormatPr baseColWidth="10" defaultColWidth="0" defaultRowHeight="0" customHeight="1" zeroHeight="1" x14ac:dyDescent="0.25"/>
  <cols>
    <col min="1" max="1" width="2.42578125" style="118" customWidth="1"/>
    <col min="2" max="2" width="4.42578125" style="174" customWidth="1"/>
    <col min="3" max="3" width="30" style="175" customWidth="1"/>
    <col min="4" max="4" width="21.85546875" style="175" customWidth="1"/>
    <col min="5" max="5" width="30" style="175" customWidth="1"/>
    <col min="6" max="6" width="23.42578125" style="122" customWidth="1"/>
    <col min="7" max="8" width="13.42578125" style="122" customWidth="1"/>
    <col min="9" max="9" width="14.5703125" style="122" customWidth="1"/>
    <col min="10" max="10" width="56.42578125" style="173" customWidth="1"/>
    <col min="11" max="11" width="4.28515625" style="118" customWidth="1"/>
    <col min="12" max="12" width="0" style="122" hidden="1" customWidth="1"/>
    <col min="13" max="16384" width="11.42578125" style="122" hidden="1"/>
  </cols>
  <sheetData>
    <row r="1" spans="1:11" ht="18.75" customHeight="1" x14ac:dyDescent="0.25">
      <c r="B1" s="119"/>
      <c r="C1" s="119"/>
      <c r="D1" s="120"/>
      <c r="E1" s="120"/>
      <c r="F1" s="120"/>
      <c r="G1" s="120"/>
      <c r="H1" s="120"/>
      <c r="I1" s="120"/>
      <c r="J1" s="121"/>
    </row>
    <row r="2" spans="1:11" ht="18.75" customHeight="1" x14ac:dyDescent="0.25">
      <c r="B2" s="123"/>
      <c r="C2" s="811" t="s">
        <v>492</v>
      </c>
      <c r="D2" s="811"/>
      <c r="E2" s="811"/>
      <c r="F2" s="811"/>
      <c r="G2" s="811"/>
      <c r="H2" s="811"/>
      <c r="I2" s="811"/>
      <c r="J2" s="811"/>
    </row>
    <row r="3" spans="1:11" ht="18.75" customHeight="1" x14ac:dyDescent="0.25">
      <c r="B3" s="123"/>
      <c r="C3" s="124"/>
      <c r="D3" s="125"/>
      <c r="E3" s="124"/>
      <c r="F3" s="126"/>
      <c r="G3" s="127"/>
      <c r="H3" s="128"/>
      <c r="I3" s="128"/>
      <c r="J3" s="129"/>
    </row>
    <row r="4" spans="1:11" ht="29.25" customHeight="1" x14ac:dyDescent="0.25">
      <c r="B4" s="123"/>
      <c r="C4" s="130" t="s">
        <v>478</v>
      </c>
      <c r="D4" s="812" t="s">
        <v>493</v>
      </c>
      <c r="E4" s="812"/>
      <c r="F4" s="812"/>
      <c r="G4" s="812"/>
      <c r="H4" s="812"/>
      <c r="I4" s="812"/>
      <c r="J4" s="812"/>
    </row>
    <row r="5" spans="1:11" ht="6.75" customHeight="1" x14ac:dyDescent="0.25">
      <c r="B5" s="123"/>
      <c r="C5" s="131"/>
      <c r="D5" s="132"/>
      <c r="E5" s="124"/>
      <c r="F5" s="133"/>
      <c r="G5" s="133"/>
      <c r="H5" s="133"/>
      <c r="I5" s="133"/>
      <c r="J5" s="129"/>
    </row>
    <row r="6" spans="1:11" ht="17.25" customHeight="1" x14ac:dyDescent="0.25">
      <c r="B6" s="123"/>
      <c r="C6" s="130" t="s">
        <v>480</v>
      </c>
      <c r="D6" s="812">
        <v>1</v>
      </c>
      <c r="E6" s="812"/>
      <c r="F6" s="812"/>
      <c r="G6" s="812"/>
      <c r="H6" s="812"/>
      <c r="I6" s="134"/>
      <c r="J6" s="134"/>
    </row>
    <row r="7" spans="1:11" ht="8.25" customHeight="1" x14ac:dyDescent="0.25">
      <c r="B7" s="123"/>
      <c r="C7" s="135"/>
      <c r="D7" s="135"/>
      <c r="E7" s="135"/>
      <c r="F7" s="136"/>
      <c r="G7" s="136"/>
      <c r="H7" s="136"/>
      <c r="I7" s="136"/>
      <c r="J7" s="129"/>
    </row>
    <row r="8" spans="1:11" ht="18" customHeight="1" x14ac:dyDescent="0.25">
      <c r="B8" s="123"/>
      <c r="C8" s="130" t="s">
        <v>481</v>
      </c>
      <c r="D8" s="813">
        <v>44225</v>
      </c>
      <c r="E8" s="812"/>
      <c r="F8" s="812"/>
      <c r="G8" s="812"/>
      <c r="H8" s="812"/>
      <c r="I8" s="134"/>
      <c r="J8" s="134"/>
    </row>
    <row r="9" spans="1:11" ht="8.25" customHeight="1" thickBot="1" x14ac:dyDescent="0.3">
      <c r="B9" s="123"/>
      <c r="C9" s="137"/>
      <c r="D9" s="137"/>
      <c r="E9" s="137"/>
      <c r="F9" s="138"/>
      <c r="G9" s="138"/>
      <c r="H9" s="138"/>
      <c r="I9" s="138"/>
      <c r="J9" s="139"/>
    </row>
    <row r="10" spans="1:11" ht="18" customHeight="1" x14ac:dyDescent="0.25">
      <c r="B10" s="808" t="s">
        <v>357</v>
      </c>
      <c r="C10" s="831"/>
      <c r="D10" s="831"/>
      <c r="E10" s="831"/>
      <c r="F10" s="831"/>
      <c r="G10" s="831"/>
      <c r="H10" s="831"/>
      <c r="I10" s="831"/>
      <c r="J10" s="809"/>
    </row>
    <row r="11" spans="1:11" ht="18" customHeight="1" x14ac:dyDescent="0.25">
      <c r="B11" s="828" t="s">
        <v>358</v>
      </c>
      <c r="C11" s="818" t="s">
        <v>360</v>
      </c>
      <c r="D11" s="818" t="s">
        <v>361</v>
      </c>
      <c r="E11" s="818" t="s">
        <v>362</v>
      </c>
      <c r="F11" s="818" t="s">
        <v>363</v>
      </c>
      <c r="G11" s="818" t="s">
        <v>364</v>
      </c>
      <c r="H11" s="818"/>
      <c r="I11" s="250" t="s">
        <v>365</v>
      </c>
      <c r="J11" s="819" t="s">
        <v>29</v>
      </c>
    </row>
    <row r="12" spans="1:11" s="141" customFormat="1" ht="18" customHeight="1" thickBot="1" x14ac:dyDescent="0.3">
      <c r="A12" s="140"/>
      <c r="B12" s="829"/>
      <c r="C12" s="830"/>
      <c r="D12" s="830"/>
      <c r="E12" s="830"/>
      <c r="F12" s="830"/>
      <c r="G12" s="247" t="s">
        <v>366</v>
      </c>
      <c r="H12" s="247" t="s">
        <v>367</v>
      </c>
      <c r="I12" s="257">
        <f>SUM(I13:I18)</f>
        <v>1</v>
      </c>
      <c r="J12" s="820"/>
      <c r="K12" s="140"/>
    </row>
    <row r="13" spans="1:11" s="141" customFormat="1" ht="42" customHeight="1" x14ac:dyDescent="0.25">
      <c r="A13" s="140"/>
      <c r="B13" s="142">
        <v>1</v>
      </c>
      <c r="C13" s="176" t="s">
        <v>494</v>
      </c>
      <c r="D13" s="176" t="s">
        <v>483</v>
      </c>
      <c r="E13" s="143" t="s">
        <v>495</v>
      </c>
      <c r="F13" s="144">
        <v>1</v>
      </c>
      <c r="G13" s="145">
        <v>44228</v>
      </c>
      <c r="H13" s="145">
        <v>44560</v>
      </c>
      <c r="I13" s="144">
        <v>0.2</v>
      </c>
      <c r="J13" s="177" t="s">
        <v>496</v>
      </c>
      <c r="K13" s="140"/>
    </row>
    <row r="14" spans="1:11" s="141" customFormat="1" ht="42" customHeight="1" x14ac:dyDescent="0.25">
      <c r="A14" s="140"/>
      <c r="B14" s="147">
        <v>2</v>
      </c>
      <c r="C14" s="178" t="s">
        <v>497</v>
      </c>
      <c r="D14" s="179" t="s">
        <v>483</v>
      </c>
      <c r="E14" s="149" t="s">
        <v>495</v>
      </c>
      <c r="F14" s="150">
        <v>1</v>
      </c>
      <c r="G14" s="151">
        <v>44228</v>
      </c>
      <c r="H14" s="151">
        <v>44560</v>
      </c>
      <c r="I14" s="150">
        <v>0.2</v>
      </c>
      <c r="J14" s="180" t="s">
        <v>496</v>
      </c>
      <c r="K14" s="140"/>
    </row>
    <row r="15" spans="1:11" s="141" customFormat="1" ht="42" customHeight="1" x14ac:dyDescent="0.25">
      <c r="A15" s="140"/>
      <c r="B15" s="147">
        <v>3</v>
      </c>
      <c r="C15" s="178" t="s">
        <v>498</v>
      </c>
      <c r="D15" s="179" t="s">
        <v>483</v>
      </c>
      <c r="E15" s="149" t="s">
        <v>495</v>
      </c>
      <c r="F15" s="150">
        <v>1</v>
      </c>
      <c r="G15" s="151">
        <v>44228</v>
      </c>
      <c r="H15" s="151">
        <v>44560</v>
      </c>
      <c r="I15" s="150">
        <v>0.2</v>
      </c>
      <c r="J15" s="180" t="s">
        <v>496</v>
      </c>
      <c r="K15" s="140"/>
    </row>
    <row r="16" spans="1:11" s="141" customFormat="1" ht="42" customHeight="1" x14ac:dyDescent="0.25">
      <c r="A16" s="140"/>
      <c r="B16" s="147">
        <v>4</v>
      </c>
      <c r="C16" s="178" t="s">
        <v>499</v>
      </c>
      <c r="D16" s="179" t="s">
        <v>483</v>
      </c>
      <c r="E16" s="149" t="s">
        <v>495</v>
      </c>
      <c r="F16" s="150">
        <v>1</v>
      </c>
      <c r="G16" s="151">
        <v>44228</v>
      </c>
      <c r="H16" s="151">
        <v>44560</v>
      </c>
      <c r="I16" s="150">
        <v>0.2</v>
      </c>
      <c r="J16" s="180" t="s">
        <v>496</v>
      </c>
      <c r="K16" s="140"/>
    </row>
    <row r="17" spans="1:11" s="141" customFormat="1" ht="42" customHeight="1" x14ac:dyDescent="0.25">
      <c r="A17" s="140"/>
      <c r="B17" s="147">
        <v>5</v>
      </c>
      <c r="C17" s="178" t="s">
        <v>500</v>
      </c>
      <c r="D17" s="179" t="s">
        <v>483</v>
      </c>
      <c r="E17" s="149" t="s">
        <v>495</v>
      </c>
      <c r="F17" s="150">
        <v>1</v>
      </c>
      <c r="G17" s="151">
        <v>44228</v>
      </c>
      <c r="H17" s="151">
        <v>44560</v>
      </c>
      <c r="I17" s="150">
        <v>0.2</v>
      </c>
      <c r="J17" s="180" t="s">
        <v>496</v>
      </c>
      <c r="K17" s="140"/>
    </row>
    <row r="18" spans="1:11" s="141" customFormat="1" ht="15" customHeight="1" thickBot="1" x14ac:dyDescent="0.3">
      <c r="A18" s="140"/>
      <c r="B18" s="153"/>
      <c r="C18" s="154"/>
      <c r="D18" s="155"/>
      <c r="E18" s="156"/>
      <c r="F18" s="158"/>
      <c r="G18" s="157"/>
      <c r="H18" s="157"/>
      <c r="I18" s="158"/>
      <c r="J18" s="159"/>
      <c r="K18" s="140"/>
    </row>
    <row r="19" spans="1:11" s="141" customFormat="1" ht="33" customHeight="1" thickBot="1" x14ac:dyDescent="0.3">
      <c r="A19" s="140"/>
      <c r="B19" s="821" t="s">
        <v>487</v>
      </c>
      <c r="C19" s="821"/>
      <c r="D19" s="821"/>
      <c r="E19" s="821"/>
      <c r="F19" s="821"/>
      <c r="G19" s="821"/>
      <c r="H19" s="821"/>
      <c r="I19" s="821"/>
      <c r="J19" s="821"/>
      <c r="K19" s="140"/>
    </row>
    <row r="20" spans="1:11" s="141" customFormat="1" ht="21.75" customHeight="1" x14ac:dyDescent="0.25">
      <c r="A20" s="140"/>
      <c r="B20" s="160"/>
      <c r="C20" s="822" t="s">
        <v>488</v>
      </c>
      <c r="D20" s="823"/>
      <c r="E20" s="823"/>
      <c r="F20" s="824"/>
      <c r="G20" s="161"/>
      <c r="H20" s="161"/>
      <c r="I20" s="161"/>
      <c r="J20" s="162"/>
      <c r="K20" s="140"/>
    </row>
    <row r="21" spans="1:11" s="141" customFormat="1" ht="21.75" customHeight="1" x14ac:dyDescent="0.25">
      <c r="A21" s="140"/>
      <c r="B21" s="160"/>
      <c r="C21" s="248" t="s">
        <v>355</v>
      </c>
      <c r="D21" s="825" t="s">
        <v>489</v>
      </c>
      <c r="E21" s="825"/>
      <c r="F21" s="249" t="s">
        <v>490</v>
      </c>
      <c r="G21" s="161"/>
      <c r="H21" s="161"/>
      <c r="I21" s="161"/>
      <c r="J21" s="162"/>
      <c r="K21" s="140"/>
    </row>
    <row r="22" spans="1:11" s="141" customFormat="1" ht="28.5" customHeight="1" x14ac:dyDescent="0.2">
      <c r="A22" s="140"/>
      <c r="B22" s="160"/>
      <c r="C22" s="163">
        <v>1</v>
      </c>
      <c r="D22" s="826" t="s">
        <v>491</v>
      </c>
      <c r="E22" s="827"/>
      <c r="F22" s="164">
        <v>44225</v>
      </c>
      <c r="G22" s="161"/>
      <c r="H22" s="161"/>
      <c r="I22" s="161"/>
      <c r="J22" s="162"/>
      <c r="K22" s="140"/>
    </row>
    <row r="23" spans="1:11" s="141" customFormat="1" ht="28.5" customHeight="1" thickBot="1" x14ac:dyDescent="0.3">
      <c r="A23" s="140"/>
      <c r="B23" s="160"/>
      <c r="C23" s="165"/>
      <c r="D23" s="817"/>
      <c r="E23" s="817"/>
      <c r="F23" s="166"/>
      <c r="G23" s="161"/>
      <c r="H23" s="161"/>
      <c r="I23" s="161"/>
      <c r="J23" s="162"/>
      <c r="K23" s="140"/>
    </row>
    <row r="24" spans="1:11" s="141" customFormat="1" ht="33" customHeight="1" x14ac:dyDescent="0.25">
      <c r="A24" s="140"/>
      <c r="B24" s="160"/>
      <c r="C24" s="167"/>
      <c r="D24" s="167"/>
      <c r="E24" s="160"/>
      <c r="F24" s="160"/>
      <c r="G24" s="161"/>
      <c r="H24" s="161"/>
      <c r="I24" s="161"/>
      <c r="J24" s="162"/>
      <c r="K24" s="140"/>
    </row>
    <row r="25" spans="1:11" s="141" customFormat="1" ht="33" hidden="1" customHeight="1" x14ac:dyDescent="0.25">
      <c r="A25" s="140"/>
      <c r="B25" s="160"/>
      <c r="C25" s="167"/>
      <c r="D25" s="167"/>
      <c r="E25" s="160"/>
      <c r="F25" s="160"/>
      <c r="G25" s="161"/>
      <c r="H25" s="161"/>
      <c r="I25" s="161"/>
      <c r="J25" s="162"/>
      <c r="K25" s="140"/>
    </row>
    <row r="26" spans="1:11" s="141" customFormat="1" ht="33" hidden="1" customHeight="1" x14ac:dyDescent="0.25">
      <c r="A26" s="140"/>
      <c r="B26" s="160"/>
      <c r="C26" s="167"/>
      <c r="D26" s="167"/>
      <c r="E26" s="160"/>
      <c r="F26" s="160"/>
      <c r="G26" s="161"/>
      <c r="H26" s="161"/>
      <c r="I26" s="161"/>
      <c r="J26" s="162"/>
      <c r="K26" s="140"/>
    </row>
    <row r="27" spans="1:11" s="141" customFormat="1" ht="33" hidden="1" customHeight="1" x14ac:dyDescent="0.25">
      <c r="A27" s="140"/>
      <c r="B27" s="160"/>
      <c r="C27" s="167"/>
      <c r="D27" s="167"/>
      <c r="E27" s="160"/>
      <c r="F27" s="160"/>
      <c r="G27" s="161"/>
      <c r="H27" s="161"/>
      <c r="I27" s="161"/>
      <c r="J27" s="162"/>
      <c r="K27" s="140"/>
    </row>
    <row r="28" spans="1:11" s="141" customFormat="1" ht="6.75" hidden="1" customHeight="1" x14ac:dyDescent="0.25">
      <c r="A28" s="140"/>
      <c r="B28" s="168"/>
      <c r="C28" s="162"/>
      <c r="D28" s="162"/>
      <c r="E28" s="160"/>
      <c r="F28" s="160"/>
      <c r="G28" s="168"/>
      <c r="H28" s="168"/>
      <c r="I28" s="168"/>
      <c r="J28" s="162"/>
      <c r="K28" s="140"/>
    </row>
    <row r="29" spans="1:11" ht="42.75" hidden="1" customHeight="1" x14ac:dyDescent="0.25">
      <c r="B29" s="169"/>
      <c r="C29" s="170"/>
      <c r="D29" s="170"/>
      <c r="E29" s="171"/>
      <c r="F29" s="172"/>
      <c r="G29" s="141"/>
      <c r="H29" s="141"/>
      <c r="I29" s="141"/>
    </row>
    <row r="30" spans="1:11" ht="16.5" hidden="1" customHeight="1" x14ac:dyDescent="0.25">
      <c r="C30" s="122"/>
      <c r="D30" s="122"/>
      <c r="E30" s="122"/>
    </row>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sheetData>
  <mergeCells count="17">
    <mergeCell ref="D23:E23"/>
    <mergeCell ref="G11:H11"/>
    <mergeCell ref="J11:J12"/>
    <mergeCell ref="B19:J19"/>
    <mergeCell ref="C20:F20"/>
    <mergeCell ref="D21:E21"/>
    <mergeCell ref="D22:E22"/>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76"/>
  <sheetViews>
    <sheetView zoomScale="80" zoomScaleNormal="80" workbookViewId="0">
      <selection activeCell="C6" sqref="C6:H6"/>
    </sheetView>
  </sheetViews>
  <sheetFormatPr baseColWidth="10" defaultColWidth="0" defaultRowHeight="0" customHeight="1" zeroHeight="1" x14ac:dyDescent="0.2"/>
  <cols>
    <col min="1" max="1" width="2.42578125" style="185" customWidth="1"/>
    <col min="2" max="2" width="4.42578125" style="185" customWidth="1"/>
    <col min="3" max="3" width="30" style="185" customWidth="1"/>
    <col min="4" max="4" width="21.85546875" style="185" customWidth="1"/>
    <col min="5" max="5" width="30" style="185" customWidth="1"/>
    <col min="6" max="6" width="23.42578125" style="185" customWidth="1"/>
    <col min="7" max="8" width="13.42578125" style="185" customWidth="1"/>
    <col min="9" max="9" width="14.28515625" style="185" customWidth="1"/>
    <col min="10" max="10" width="58.42578125" style="185" customWidth="1"/>
    <col min="11" max="13" width="6.85546875" style="185" customWidth="1"/>
    <col min="14" max="26" width="10.7109375" style="185" hidden="1" customWidth="1"/>
    <col min="27" max="16384" width="14.42578125" style="185" hidden="1"/>
  </cols>
  <sheetData>
    <row r="1" spans="1:25" ht="18.75" customHeight="1" x14ac:dyDescent="0.2">
      <c r="A1" s="181"/>
      <c r="B1" s="182"/>
      <c r="C1" s="182"/>
      <c r="D1" s="183"/>
      <c r="E1" s="183"/>
      <c r="F1" s="183"/>
      <c r="G1" s="183"/>
      <c r="H1" s="183"/>
      <c r="I1" s="183"/>
      <c r="J1" s="184"/>
      <c r="K1" s="181"/>
      <c r="L1" s="181"/>
      <c r="M1" s="181"/>
      <c r="N1" s="181"/>
      <c r="O1" s="181"/>
      <c r="P1" s="181"/>
      <c r="Q1" s="181"/>
      <c r="R1" s="181"/>
      <c r="S1" s="181"/>
      <c r="T1" s="181"/>
      <c r="U1" s="181"/>
      <c r="V1" s="181"/>
      <c r="W1" s="181"/>
      <c r="X1" s="181"/>
      <c r="Y1" s="181"/>
    </row>
    <row r="2" spans="1:25" ht="18.75" customHeight="1" x14ac:dyDescent="0.2">
      <c r="A2" s="181"/>
      <c r="B2" s="186"/>
      <c r="C2" s="832" t="s">
        <v>501</v>
      </c>
      <c r="D2" s="833"/>
      <c r="E2" s="833"/>
      <c r="F2" s="833"/>
      <c r="G2" s="833"/>
      <c r="H2" s="833"/>
      <c r="I2" s="833"/>
      <c r="J2" s="833"/>
      <c r="K2" s="181"/>
      <c r="L2" s="181"/>
      <c r="M2" s="181"/>
      <c r="N2" s="181"/>
      <c r="O2" s="181"/>
      <c r="P2" s="181"/>
      <c r="Q2" s="181"/>
      <c r="R2" s="181"/>
      <c r="S2" s="181"/>
      <c r="T2" s="181"/>
      <c r="U2" s="181"/>
      <c r="V2" s="181"/>
      <c r="W2" s="181"/>
      <c r="X2" s="181"/>
      <c r="Y2" s="181"/>
    </row>
    <row r="3" spans="1:25" ht="18.75" customHeight="1" x14ac:dyDescent="0.2">
      <c r="A3" s="181"/>
      <c r="B3" s="186"/>
      <c r="C3" s="187"/>
      <c r="D3" s="188"/>
      <c r="E3" s="187"/>
      <c r="F3" s="189"/>
      <c r="G3" s="190"/>
      <c r="H3" s="191"/>
      <c r="I3" s="191"/>
      <c r="J3" s="192"/>
      <c r="K3" s="181"/>
      <c r="L3" s="181"/>
      <c r="M3" s="181"/>
      <c r="N3" s="181"/>
      <c r="O3" s="181"/>
      <c r="P3" s="181"/>
      <c r="Q3" s="181"/>
      <c r="R3" s="181"/>
      <c r="S3" s="181"/>
      <c r="T3" s="181"/>
      <c r="U3" s="181"/>
      <c r="V3" s="181"/>
      <c r="W3" s="181"/>
      <c r="X3" s="181"/>
      <c r="Y3" s="181"/>
    </row>
    <row r="4" spans="1:25" ht="16.5" customHeight="1" x14ac:dyDescent="0.2">
      <c r="A4" s="181"/>
      <c r="B4" s="186"/>
      <c r="C4" s="188" t="s">
        <v>478</v>
      </c>
      <c r="D4" s="834" t="s">
        <v>502</v>
      </c>
      <c r="E4" s="833"/>
      <c r="F4" s="833"/>
      <c r="G4" s="833"/>
      <c r="H4" s="833"/>
      <c r="I4" s="833"/>
      <c r="J4" s="833"/>
      <c r="K4" s="181"/>
      <c r="L4" s="181"/>
      <c r="M4" s="181"/>
      <c r="N4" s="181"/>
      <c r="O4" s="181"/>
      <c r="P4" s="181"/>
      <c r="Q4" s="181"/>
      <c r="R4" s="181"/>
      <c r="S4" s="181"/>
      <c r="T4" s="181"/>
      <c r="U4" s="181"/>
      <c r="V4" s="181"/>
      <c r="W4" s="181"/>
      <c r="X4" s="181"/>
      <c r="Y4" s="181"/>
    </row>
    <row r="5" spans="1:25" ht="5.25" customHeight="1" x14ac:dyDescent="0.2">
      <c r="A5" s="181"/>
      <c r="B5" s="186"/>
      <c r="C5" s="193"/>
      <c r="D5" s="194"/>
      <c r="E5" s="187"/>
      <c r="F5" s="195"/>
      <c r="G5" s="195"/>
      <c r="H5" s="195"/>
      <c r="I5" s="195"/>
      <c r="J5" s="192"/>
      <c r="K5" s="181"/>
      <c r="L5" s="181"/>
      <c r="M5" s="181"/>
      <c r="N5" s="181"/>
      <c r="O5" s="181"/>
      <c r="P5" s="181"/>
      <c r="Q5" s="181"/>
      <c r="R5" s="181"/>
      <c r="S5" s="181"/>
      <c r="T5" s="181"/>
      <c r="U5" s="181"/>
      <c r="V5" s="181"/>
      <c r="W5" s="181"/>
      <c r="X5" s="181"/>
      <c r="Y5" s="181"/>
    </row>
    <row r="6" spans="1:25" ht="16.5" customHeight="1" x14ac:dyDescent="0.2">
      <c r="A6" s="181"/>
      <c r="B6" s="186"/>
      <c r="C6" s="188" t="s">
        <v>480</v>
      </c>
      <c r="D6" s="834">
        <v>1</v>
      </c>
      <c r="E6" s="833"/>
      <c r="F6" s="833"/>
      <c r="G6" s="833"/>
      <c r="H6" s="833"/>
      <c r="I6" s="196"/>
      <c r="J6" s="196"/>
      <c r="K6" s="181"/>
      <c r="L6" s="181"/>
      <c r="M6" s="181"/>
      <c r="N6" s="181"/>
      <c r="O6" s="181"/>
      <c r="P6" s="181"/>
      <c r="Q6" s="181"/>
      <c r="R6" s="181"/>
      <c r="S6" s="181"/>
      <c r="T6" s="181"/>
      <c r="U6" s="181"/>
      <c r="V6" s="181"/>
      <c r="W6" s="181"/>
      <c r="X6" s="181"/>
      <c r="Y6" s="181"/>
    </row>
    <row r="7" spans="1:25" ht="5.25" customHeight="1" x14ac:dyDescent="0.2">
      <c r="A7" s="181"/>
      <c r="B7" s="186"/>
      <c r="C7" s="197"/>
      <c r="D7" s="197"/>
      <c r="E7" s="197"/>
      <c r="F7" s="198"/>
      <c r="G7" s="198"/>
      <c r="H7" s="198"/>
      <c r="I7" s="198"/>
      <c r="J7" s="192"/>
      <c r="K7" s="181"/>
      <c r="L7" s="181"/>
      <c r="M7" s="181"/>
      <c r="N7" s="181"/>
      <c r="O7" s="181"/>
      <c r="P7" s="181"/>
      <c r="Q7" s="181"/>
      <c r="R7" s="181"/>
      <c r="S7" s="181"/>
      <c r="T7" s="181"/>
      <c r="U7" s="181"/>
      <c r="V7" s="181"/>
      <c r="W7" s="181"/>
      <c r="X7" s="181"/>
      <c r="Y7" s="181"/>
    </row>
    <row r="8" spans="1:25" ht="16.5" customHeight="1" x14ac:dyDescent="0.2">
      <c r="A8" s="181"/>
      <c r="B8" s="186"/>
      <c r="C8" s="188" t="s">
        <v>481</v>
      </c>
      <c r="D8" s="813">
        <v>44225</v>
      </c>
      <c r="E8" s="812"/>
      <c r="F8" s="812"/>
      <c r="G8" s="812"/>
      <c r="H8" s="812"/>
      <c r="I8" s="196"/>
      <c r="J8" s="196"/>
      <c r="K8" s="181"/>
      <c r="L8" s="181"/>
      <c r="M8" s="181"/>
      <c r="N8" s="181"/>
      <c r="O8" s="181"/>
      <c r="P8" s="181"/>
      <c r="Q8" s="181"/>
      <c r="R8" s="181"/>
      <c r="S8" s="181"/>
      <c r="T8" s="181"/>
      <c r="U8" s="181"/>
      <c r="V8" s="181"/>
      <c r="W8" s="181"/>
      <c r="X8" s="181"/>
      <c r="Y8" s="181"/>
    </row>
    <row r="9" spans="1:25" ht="8.25" customHeight="1" thickBot="1" x14ac:dyDescent="0.25">
      <c r="A9" s="181"/>
      <c r="B9" s="186"/>
      <c r="C9" s="199"/>
      <c r="D9" s="199"/>
      <c r="E9" s="199"/>
      <c r="F9" s="200"/>
      <c r="G9" s="200"/>
      <c r="H9" s="200"/>
      <c r="I9" s="200"/>
      <c r="J9" s="201"/>
      <c r="K9" s="181"/>
      <c r="L9" s="181"/>
      <c r="M9" s="181"/>
      <c r="N9" s="181"/>
      <c r="O9" s="181"/>
      <c r="P9" s="181"/>
      <c r="Q9" s="181"/>
      <c r="R9" s="181"/>
      <c r="S9" s="181"/>
      <c r="T9" s="181"/>
      <c r="U9" s="181"/>
      <c r="V9" s="181"/>
      <c r="W9" s="181"/>
      <c r="X9" s="181"/>
      <c r="Y9" s="181"/>
    </row>
    <row r="10" spans="1:25" ht="18" customHeight="1" x14ac:dyDescent="0.2">
      <c r="A10" s="181"/>
      <c r="B10" s="835" t="s">
        <v>357</v>
      </c>
      <c r="C10" s="836"/>
      <c r="D10" s="836"/>
      <c r="E10" s="836"/>
      <c r="F10" s="836"/>
      <c r="G10" s="836"/>
      <c r="H10" s="836"/>
      <c r="I10" s="836"/>
      <c r="J10" s="837"/>
      <c r="K10" s="181"/>
      <c r="L10" s="181"/>
      <c r="M10" s="181"/>
      <c r="N10" s="181"/>
      <c r="O10" s="181"/>
      <c r="P10" s="181"/>
      <c r="Q10" s="181"/>
      <c r="R10" s="181"/>
      <c r="S10" s="181"/>
      <c r="T10" s="181"/>
      <c r="U10" s="181"/>
      <c r="V10" s="181"/>
      <c r="W10" s="181"/>
      <c r="X10" s="181"/>
      <c r="Y10" s="181"/>
    </row>
    <row r="11" spans="1:25" ht="18" customHeight="1" x14ac:dyDescent="0.2">
      <c r="A11" s="181"/>
      <c r="B11" s="849" t="s">
        <v>358</v>
      </c>
      <c r="C11" s="840" t="s">
        <v>360</v>
      </c>
      <c r="D11" s="840" t="s">
        <v>361</v>
      </c>
      <c r="E11" s="840" t="s">
        <v>362</v>
      </c>
      <c r="F11" s="840" t="s">
        <v>363</v>
      </c>
      <c r="G11" s="840" t="s">
        <v>364</v>
      </c>
      <c r="H11" s="841"/>
      <c r="I11" s="251" t="s">
        <v>365</v>
      </c>
      <c r="J11" s="842" t="s">
        <v>29</v>
      </c>
      <c r="K11" s="181"/>
      <c r="L11" s="181"/>
      <c r="M11" s="181"/>
      <c r="N11" s="181"/>
      <c r="O11" s="181"/>
      <c r="P11" s="181"/>
      <c r="Q11" s="181"/>
      <c r="R11" s="181"/>
      <c r="S11" s="181"/>
      <c r="T11" s="181"/>
      <c r="U11" s="181"/>
      <c r="V11" s="181"/>
      <c r="W11" s="181"/>
      <c r="X11" s="181"/>
      <c r="Y11" s="181"/>
    </row>
    <row r="12" spans="1:25" ht="18" customHeight="1" thickBot="1" x14ac:dyDescent="0.25">
      <c r="A12" s="202"/>
      <c r="B12" s="850"/>
      <c r="C12" s="851"/>
      <c r="D12" s="851"/>
      <c r="E12" s="851"/>
      <c r="F12" s="851"/>
      <c r="G12" s="252" t="s">
        <v>366</v>
      </c>
      <c r="H12" s="252" t="s">
        <v>367</v>
      </c>
      <c r="I12" s="256">
        <f>SUM(I13:I16)</f>
        <v>1</v>
      </c>
      <c r="J12" s="843"/>
      <c r="K12" s="202"/>
      <c r="L12" s="181"/>
      <c r="M12" s="181"/>
      <c r="N12" s="181"/>
      <c r="O12" s="181"/>
      <c r="P12" s="181"/>
      <c r="Q12" s="181"/>
      <c r="R12" s="181"/>
      <c r="S12" s="181"/>
      <c r="T12" s="181"/>
      <c r="U12" s="181"/>
      <c r="V12" s="181"/>
      <c r="W12" s="181"/>
      <c r="X12" s="181"/>
      <c r="Y12" s="181"/>
    </row>
    <row r="13" spans="1:25" ht="49.5" customHeight="1" x14ac:dyDescent="0.2">
      <c r="A13" s="202"/>
      <c r="B13" s="203">
        <v>1</v>
      </c>
      <c r="C13" s="204" t="s">
        <v>503</v>
      </c>
      <c r="D13" s="204" t="s">
        <v>504</v>
      </c>
      <c r="E13" s="204" t="s">
        <v>505</v>
      </c>
      <c r="F13" s="205">
        <v>0.9</v>
      </c>
      <c r="G13" s="206">
        <v>44197</v>
      </c>
      <c r="H13" s="206">
        <v>44561</v>
      </c>
      <c r="I13" s="205">
        <v>0.5</v>
      </c>
      <c r="J13" s="207" t="s">
        <v>506</v>
      </c>
      <c r="K13" s="202"/>
      <c r="L13" s="181"/>
      <c r="M13" s="181"/>
      <c r="N13" s="181"/>
      <c r="O13" s="181"/>
      <c r="P13" s="181"/>
      <c r="Q13" s="181"/>
      <c r="R13" s="181"/>
      <c r="S13" s="181"/>
      <c r="T13" s="181"/>
      <c r="U13" s="181"/>
      <c r="V13" s="181"/>
      <c r="W13" s="181"/>
      <c r="X13" s="181"/>
      <c r="Y13" s="181"/>
    </row>
    <row r="14" spans="1:25" ht="49.5" customHeight="1" x14ac:dyDescent="0.2">
      <c r="A14" s="202"/>
      <c r="B14" s="208">
        <v>2</v>
      </c>
      <c r="C14" s="209" t="s">
        <v>507</v>
      </c>
      <c r="D14" s="209" t="s">
        <v>504</v>
      </c>
      <c r="E14" s="209" t="s">
        <v>508</v>
      </c>
      <c r="F14" s="210">
        <v>1</v>
      </c>
      <c r="G14" s="211">
        <v>44197</v>
      </c>
      <c r="H14" s="211">
        <v>44561</v>
      </c>
      <c r="I14" s="210">
        <v>0.25</v>
      </c>
      <c r="J14" s="212" t="s">
        <v>506</v>
      </c>
      <c r="K14" s="202"/>
      <c r="L14" s="181"/>
      <c r="M14" s="181"/>
      <c r="N14" s="181"/>
      <c r="O14" s="181"/>
      <c r="P14" s="181"/>
      <c r="Q14" s="181"/>
      <c r="R14" s="181"/>
      <c r="S14" s="181"/>
      <c r="T14" s="181"/>
      <c r="U14" s="181"/>
      <c r="V14" s="181"/>
      <c r="W14" s="181"/>
      <c r="X14" s="181"/>
      <c r="Y14" s="181"/>
    </row>
    <row r="15" spans="1:25" ht="49.5" customHeight="1" x14ac:dyDescent="0.2">
      <c r="A15" s="202"/>
      <c r="B15" s="208">
        <v>3</v>
      </c>
      <c r="C15" s="209" t="s">
        <v>509</v>
      </c>
      <c r="D15" s="209" t="s">
        <v>504</v>
      </c>
      <c r="E15" s="209" t="s">
        <v>510</v>
      </c>
      <c r="F15" s="210">
        <v>0.95</v>
      </c>
      <c r="G15" s="211">
        <v>44197</v>
      </c>
      <c r="H15" s="211">
        <v>44561</v>
      </c>
      <c r="I15" s="210">
        <v>0.25</v>
      </c>
      <c r="J15" s="212" t="s">
        <v>511</v>
      </c>
      <c r="K15" s="202"/>
      <c r="L15" s="181"/>
      <c r="M15" s="181"/>
      <c r="N15" s="181"/>
      <c r="O15" s="181"/>
      <c r="P15" s="181"/>
      <c r="Q15" s="181"/>
      <c r="R15" s="181"/>
      <c r="S15" s="181"/>
      <c r="T15" s="181"/>
      <c r="U15" s="181"/>
      <c r="V15" s="181"/>
      <c r="W15" s="181"/>
      <c r="X15" s="181"/>
      <c r="Y15" s="181"/>
    </row>
    <row r="16" spans="1:25" ht="22.5" customHeight="1" thickBot="1" x14ac:dyDescent="0.25">
      <c r="A16" s="202"/>
      <c r="B16" s="213"/>
      <c r="C16" s="214"/>
      <c r="D16" s="214"/>
      <c r="E16" s="214"/>
      <c r="F16" s="214"/>
      <c r="G16" s="215"/>
      <c r="H16" s="215"/>
      <c r="I16" s="215"/>
      <c r="J16" s="216"/>
      <c r="K16" s="202"/>
      <c r="L16" s="181"/>
      <c r="M16" s="181"/>
      <c r="N16" s="181"/>
      <c r="O16" s="181"/>
      <c r="P16" s="181"/>
      <c r="Q16" s="181"/>
      <c r="R16" s="181"/>
      <c r="S16" s="181"/>
      <c r="T16" s="181"/>
      <c r="U16" s="181"/>
      <c r="V16" s="181"/>
      <c r="W16" s="181"/>
      <c r="X16" s="181"/>
      <c r="Y16" s="181"/>
    </row>
    <row r="17" spans="1:25" ht="33" customHeight="1" thickBot="1" x14ac:dyDescent="0.25">
      <c r="A17" s="202"/>
      <c r="B17" s="821" t="s">
        <v>487</v>
      </c>
      <c r="C17" s="821"/>
      <c r="D17" s="821"/>
      <c r="E17" s="821"/>
      <c r="F17" s="821"/>
      <c r="G17" s="821"/>
      <c r="H17" s="821"/>
      <c r="I17" s="821"/>
      <c r="J17" s="821"/>
      <c r="K17" s="202"/>
      <c r="L17" s="181"/>
      <c r="M17" s="181"/>
      <c r="N17" s="181"/>
      <c r="O17" s="181"/>
      <c r="P17" s="181"/>
      <c r="Q17" s="181"/>
      <c r="R17" s="181"/>
      <c r="S17" s="181"/>
      <c r="T17" s="181"/>
      <c r="U17" s="181"/>
      <c r="V17" s="181"/>
      <c r="W17" s="181"/>
      <c r="X17" s="181"/>
      <c r="Y17" s="181"/>
    </row>
    <row r="18" spans="1:25" ht="21.75" customHeight="1" x14ac:dyDescent="0.2">
      <c r="A18" s="202"/>
      <c r="B18" s="217"/>
      <c r="C18" s="844" t="s">
        <v>488</v>
      </c>
      <c r="D18" s="845"/>
      <c r="E18" s="845"/>
      <c r="F18" s="846"/>
      <c r="G18" s="218"/>
      <c r="H18" s="218"/>
      <c r="I18" s="218"/>
      <c r="J18" s="219"/>
      <c r="K18" s="202"/>
      <c r="L18" s="181"/>
      <c r="M18" s="181"/>
      <c r="N18" s="181"/>
      <c r="O18" s="181"/>
      <c r="P18" s="181"/>
      <c r="Q18" s="181"/>
      <c r="R18" s="181"/>
      <c r="S18" s="181"/>
      <c r="T18" s="181"/>
      <c r="U18" s="181"/>
      <c r="V18" s="181"/>
      <c r="W18" s="181"/>
      <c r="X18" s="181"/>
      <c r="Y18" s="181"/>
    </row>
    <row r="19" spans="1:25" ht="21.75" customHeight="1" x14ac:dyDescent="0.2">
      <c r="A19" s="202"/>
      <c r="B19" s="217"/>
      <c r="C19" s="253" t="s">
        <v>355</v>
      </c>
      <c r="D19" s="847" t="s">
        <v>489</v>
      </c>
      <c r="E19" s="848"/>
      <c r="F19" s="254" t="s">
        <v>490</v>
      </c>
      <c r="G19" s="218"/>
      <c r="H19" s="218"/>
      <c r="I19" s="218"/>
      <c r="J19" s="219"/>
      <c r="K19" s="202"/>
      <c r="L19" s="181"/>
      <c r="M19" s="181"/>
      <c r="N19" s="181"/>
      <c r="O19" s="181"/>
      <c r="P19" s="181"/>
      <c r="Q19" s="181"/>
      <c r="R19" s="181"/>
      <c r="S19" s="181"/>
      <c r="T19" s="181"/>
      <c r="U19" s="181"/>
      <c r="V19" s="181"/>
      <c r="W19" s="181"/>
      <c r="X19" s="181"/>
      <c r="Y19" s="181"/>
    </row>
    <row r="20" spans="1:25" ht="28.5" customHeight="1" x14ac:dyDescent="0.2">
      <c r="A20" s="202"/>
      <c r="B20" s="217"/>
      <c r="C20" s="163">
        <v>1</v>
      </c>
      <c r="D20" s="826" t="s">
        <v>491</v>
      </c>
      <c r="E20" s="827"/>
      <c r="F20" s="164">
        <v>44225</v>
      </c>
      <c r="G20" s="218"/>
      <c r="H20" s="218"/>
      <c r="I20" s="218"/>
      <c r="J20" s="219"/>
      <c r="K20" s="202"/>
      <c r="L20" s="181"/>
      <c r="M20" s="181"/>
      <c r="N20" s="181"/>
      <c r="O20" s="181"/>
      <c r="P20" s="181"/>
      <c r="Q20" s="181"/>
      <c r="R20" s="181"/>
      <c r="S20" s="181"/>
      <c r="T20" s="181"/>
      <c r="U20" s="181"/>
      <c r="V20" s="181"/>
      <c r="W20" s="181"/>
      <c r="X20" s="181"/>
      <c r="Y20" s="181"/>
    </row>
    <row r="21" spans="1:25" ht="28.5" customHeight="1" thickBot="1" x14ac:dyDescent="0.25">
      <c r="A21" s="202"/>
      <c r="B21" s="217"/>
      <c r="C21" s="220"/>
      <c r="D21" s="838"/>
      <c r="E21" s="839"/>
      <c r="F21" s="221"/>
      <c r="G21" s="218"/>
      <c r="H21" s="218"/>
      <c r="I21" s="218"/>
      <c r="J21" s="219"/>
      <c r="K21" s="202"/>
      <c r="L21" s="181"/>
      <c r="M21" s="181"/>
      <c r="N21" s="181"/>
      <c r="O21" s="181"/>
      <c r="P21" s="181"/>
      <c r="Q21" s="181"/>
      <c r="R21" s="181"/>
      <c r="S21" s="181"/>
      <c r="T21" s="181"/>
      <c r="U21" s="181"/>
      <c r="V21" s="181"/>
      <c r="W21" s="181"/>
      <c r="X21" s="181"/>
      <c r="Y21" s="181"/>
    </row>
    <row r="22" spans="1:25" ht="33" customHeight="1" x14ac:dyDescent="0.2">
      <c r="A22" s="202"/>
      <c r="B22" s="217"/>
      <c r="C22" s="219"/>
      <c r="D22" s="219"/>
      <c r="E22" s="217"/>
      <c r="F22" s="217"/>
      <c r="G22" s="218"/>
      <c r="H22" s="218"/>
      <c r="I22" s="218"/>
      <c r="J22" s="219"/>
      <c r="K22" s="202"/>
      <c r="L22" s="181"/>
      <c r="M22" s="181"/>
      <c r="N22" s="181"/>
      <c r="O22" s="181"/>
      <c r="P22" s="181"/>
      <c r="Q22" s="181"/>
      <c r="R22" s="181"/>
      <c r="S22" s="181"/>
      <c r="T22" s="181"/>
      <c r="U22" s="181"/>
      <c r="V22" s="181"/>
      <c r="W22" s="181"/>
      <c r="X22" s="181"/>
      <c r="Y22" s="181"/>
    </row>
    <row r="23" spans="1:25" ht="33" hidden="1" customHeight="1" x14ac:dyDescent="0.2">
      <c r="A23" s="202"/>
      <c r="B23" s="217"/>
      <c r="C23" s="219"/>
      <c r="D23" s="219"/>
      <c r="E23" s="217"/>
      <c r="F23" s="217"/>
      <c r="G23" s="218"/>
      <c r="H23" s="218"/>
      <c r="I23" s="218"/>
      <c r="J23" s="219"/>
      <c r="K23" s="202"/>
      <c r="L23" s="202"/>
      <c r="M23" s="202"/>
      <c r="N23" s="202"/>
      <c r="O23" s="202"/>
      <c r="P23" s="202"/>
      <c r="Q23" s="202"/>
      <c r="R23" s="202"/>
      <c r="S23" s="202"/>
      <c r="T23" s="202"/>
      <c r="U23" s="202"/>
      <c r="V23" s="202"/>
      <c r="W23" s="202"/>
      <c r="X23" s="202"/>
      <c r="Y23" s="202"/>
    </row>
    <row r="24" spans="1:25" ht="33" hidden="1" customHeight="1" x14ac:dyDescent="0.2">
      <c r="A24" s="202"/>
      <c r="B24" s="217"/>
      <c r="C24" s="219"/>
      <c r="D24" s="219"/>
      <c r="E24" s="217"/>
      <c r="F24" s="217"/>
      <c r="G24" s="218"/>
      <c r="H24" s="218"/>
      <c r="I24" s="218"/>
      <c r="J24" s="219"/>
      <c r="K24" s="202"/>
      <c r="L24" s="202"/>
      <c r="M24" s="202"/>
      <c r="N24" s="202"/>
      <c r="O24" s="202"/>
      <c r="P24" s="202"/>
      <c r="Q24" s="202"/>
      <c r="R24" s="202"/>
      <c r="S24" s="202"/>
      <c r="T24" s="202"/>
      <c r="U24" s="202"/>
      <c r="V24" s="202"/>
      <c r="W24" s="202"/>
      <c r="X24" s="202"/>
      <c r="Y24" s="202"/>
    </row>
    <row r="25" spans="1:25" ht="33" hidden="1" customHeight="1" x14ac:dyDescent="0.2">
      <c r="A25" s="202"/>
      <c r="B25" s="217"/>
      <c r="C25" s="219"/>
      <c r="D25" s="219"/>
      <c r="E25" s="217"/>
      <c r="F25" s="217"/>
      <c r="G25" s="218"/>
      <c r="H25" s="218"/>
      <c r="I25" s="218"/>
      <c r="J25" s="219"/>
      <c r="K25" s="202"/>
      <c r="L25" s="202"/>
      <c r="M25" s="202"/>
      <c r="N25" s="202"/>
      <c r="O25" s="202"/>
      <c r="P25" s="202"/>
      <c r="Q25" s="202"/>
      <c r="R25" s="202"/>
      <c r="S25" s="202"/>
      <c r="T25" s="202"/>
      <c r="U25" s="202"/>
      <c r="V25" s="202"/>
      <c r="W25" s="202"/>
      <c r="X25" s="202"/>
      <c r="Y25" s="202"/>
    </row>
    <row r="26" spans="1:25" ht="6.75" hidden="1" customHeight="1" x14ac:dyDescent="0.2">
      <c r="A26" s="202"/>
      <c r="B26" s="222"/>
      <c r="C26" s="219"/>
      <c r="D26" s="219"/>
      <c r="E26" s="217"/>
      <c r="F26" s="217"/>
      <c r="G26" s="222"/>
      <c r="H26" s="222"/>
      <c r="I26" s="222"/>
      <c r="J26" s="219"/>
      <c r="K26" s="202"/>
      <c r="L26" s="202"/>
      <c r="M26" s="202"/>
      <c r="N26" s="202"/>
      <c r="O26" s="202"/>
      <c r="P26" s="202"/>
      <c r="Q26" s="202"/>
      <c r="R26" s="202"/>
      <c r="S26" s="202"/>
      <c r="T26" s="202"/>
      <c r="U26" s="202"/>
      <c r="V26" s="202"/>
      <c r="W26" s="202"/>
      <c r="X26" s="202"/>
      <c r="Y26" s="202"/>
    </row>
    <row r="27" spans="1:25" ht="42.75" hidden="1" customHeight="1" x14ac:dyDescent="0.2">
      <c r="A27" s="181"/>
      <c r="B27" s="169"/>
      <c r="C27" s="223"/>
      <c r="D27" s="223"/>
      <c r="E27" s="224"/>
      <c r="F27" s="224"/>
      <c r="G27" s="225"/>
      <c r="H27" s="225"/>
      <c r="I27" s="225"/>
      <c r="J27" s="173"/>
      <c r="K27" s="181"/>
      <c r="L27" s="181"/>
      <c r="M27" s="181"/>
      <c r="N27" s="181"/>
      <c r="O27" s="181"/>
      <c r="P27" s="181"/>
      <c r="Q27" s="181"/>
      <c r="R27" s="181"/>
      <c r="S27" s="181"/>
      <c r="T27" s="181"/>
      <c r="U27" s="181"/>
      <c r="V27" s="181"/>
      <c r="W27" s="181"/>
      <c r="X27" s="181"/>
      <c r="Y27" s="181"/>
    </row>
    <row r="28" spans="1:25" ht="16.5" hidden="1" customHeight="1" x14ac:dyDescent="0.2">
      <c r="A28" s="181"/>
      <c r="B28" s="174"/>
      <c r="C28" s="122"/>
      <c r="D28" s="122"/>
      <c r="E28" s="122"/>
      <c r="F28" s="122"/>
      <c r="G28" s="122"/>
      <c r="H28" s="122"/>
      <c r="I28" s="122"/>
      <c r="J28" s="173"/>
      <c r="K28" s="181"/>
      <c r="L28" s="181"/>
      <c r="M28" s="181"/>
      <c r="N28" s="181"/>
      <c r="O28" s="181"/>
      <c r="P28" s="181"/>
      <c r="Q28" s="181"/>
      <c r="R28" s="181"/>
      <c r="S28" s="181"/>
      <c r="T28" s="181"/>
      <c r="U28" s="181"/>
      <c r="V28" s="181"/>
      <c r="W28" s="181"/>
      <c r="X28" s="181"/>
      <c r="Y28" s="181"/>
    </row>
    <row r="29" spans="1:25" ht="16.5" hidden="1" customHeight="1" x14ac:dyDescent="0.2">
      <c r="A29" s="181"/>
      <c r="B29" s="174"/>
      <c r="C29" s="175"/>
      <c r="D29" s="175"/>
      <c r="E29" s="175"/>
      <c r="F29" s="122"/>
      <c r="G29" s="122"/>
      <c r="H29" s="122"/>
      <c r="I29" s="122"/>
      <c r="J29" s="173"/>
      <c r="K29" s="181"/>
      <c r="L29" s="181"/>
      <c r="M29" s="181"/>
      <c r="N29" s="181"/>
      <c r="O29" s="181"/>
      <c r="P29" s="181"/>
      <c r="Q29" s="181"/>
      <c r="R29" s="181"/>
      <c r="S29" s="181"/>
      <c r="T29" s="181"/>
      <c r="U29" s="181"/>
      <c r="V29" s="181"/>
      <c r="W29" s="181"/>
      <c r="X29" s="181"/>
      <c r="Y29" s="181"/>
    </row>
    <row r="30" spans="1:25" ht="16.5" hidden="1" customHeight="1" x14ac:dyDescent="0.2">
      <c r="A30" s="181"/>
      <c r="B30" s="174"/>
      <c r="C30" s="175"/>
      <c r="D30" s="175"/>
      <c r="E30" s="175"/>
      <c r="F30" s="122"/>
      <c r="G30" s="122"/>
      <c r="H30" s="122"/>
      <c r="I30" s="122"/>
      <c r="J30" s="173"/>
      <c r="K30" s="181"/>
      <c r="L30" s="181"/>
      <c r="M30" s="181"/>
      <c r="N30" s="181"/>
      <c r="O30" s="181"/>
      <c r="P30" s="181"/>
      <c r="Q30" s="181"/>
      <c r="R30" s="181"/>
      <c r="S30" s="181"/>
      <c r="T30" s="181"/>
      <c r="U30" s="181"/>
      <c r="V30" s="181"/>
      <c r="W30" s="181"/>
      <c r="X30" s="181"/>
      <c r="Y30" s="181"/>
    </row>
    <row r="31" spans="1:25" ht="16.5" hidden="1" customHeight="1" x14ac:dyDescent="0.2">
      <c r="A31" s="181"/>
      <c r="B31" s="174"/>
      <c r="C31" s="175"/>
      <c r="D31" s="175"/>
      <c r="E31" s="175"/>
      <c r="F31" s="122"/>
      <c r="G31" s="122"/>
      <c r="H31" s="122"/>
      <c r="I31" s="122"/>
      <c r="J31" s="173"/>
      <c r="K31" s="181"/>
      <c r="L31" s="181"/>
      <c r="M31" s="181"/>
      <c r="N31" s="181"/>
      <c r="O31" s="181"/>
      <c r="P31" s="181"/>
      <c r="Q31" s="181"/>
      <c r="R31" s="181"/>
      <c r="S31" s="181"/>
      <c r="T31" s="181"/>
      <c r="U31" s="181"/>
      <c r="V31" s="181"/>
      <c r="W31" s="181"/>
      <c r="X31" s="181"/>
      <c r="Y31" s="181"/>
    </row>
    <row r="32" spans="1:25" ht="16.5" hidden="1" customHeight="1" x14ac:dyDescent="0.2">
      <c r="A32" s="181"/>
      <c r="B32" s="174"/>
      <c r="C32" s="175"/>
      <c r="D32" s="175"/>
      <c r="E32" s="175"/>
      <c r="F32" s="122"/>
      <c r="G32" s="122"/>
      <c r="H32" s="122"/>
      <c r="I32" s="122"/>
      <c r="J32" s="173"/>
      <c r="K32" s="181"/>
      <c r="L32" s="181"/>
      <c r="M32" s="181"/>
      <c r="N32" s="181"/>
      <c r="O32" s="181"/>
      <c r="P32" s="181"/>
      <c r="Q32" s="181"/>
      <c r="R32" s="181"/>
      <c r="S32" s="181"/>
      <c r="T32" s="181"/>
      <c r="U32" s="181"/>
      <c r="V32" s="181"/>
      <c r="W32" s="181"/>
      <c r="X32" s="181"/>
      <c r="Y32" s="181"/>
    </row>
    <row r="33" spans="1:25" ht="16.5" hidden="1" customHeight="1" x14ac:dyDescent="0.2">
      <c r="A33" s="181"/>
      <c r="B33" s="174"/>
      <c r="C33" s="175"/>
      <c r="D33" s="175"/>
      <c r="E33" s="175"/>
      <c r="F33" s="122"/>
      <c r="G33" s="122"/>
      <c r="H33" s="122"/>
      <c r="I33" s="122"/>
      <c r="J33" s="173"/>
      <c r="K33" s="181"/>
      <c r="L33" s="181"/>
      <c r="M33" s="181"/>
      <c r="N33" s="181"/>
      <c r="O33" s="181"/>
      <c r="P33" s="181"/>
      <c r="Q33" s="181"/>
      <c r="R33" s="181"/>
      <c r="S33" s="181"/>
      <c r="T33" s="181"/>
      <c r="U33" s="181"/>
      <c r="V33" s="181"/>
      <c r="W33" s="181"/>
      <c r="X33" s="181"/>
      <c r="Y33" s="181"/>
    </row>
    <row r="34" spans="1:25" ht="16.5" hidden="1" customHeight="1" x14ac:dyDescent="0.2">
      <c r="A34" s="181"/>
      <c r="B34" s="174"/>
      <c r="C34" s="175"/>
      <c r="D34" s="175"/>
      <c r="E34" s="175"/>
      <c r="F34" s="122"/>
      <c r="G34" s="122"/>
      <c r="H34" s="122"/>
      <c r="I34" s="122"/>
      <c r="J34" s="173"/>
      <c r="K34" s="181"/>
      <c r="L34" s="181"/>
      <c r="M34" s="181"/>
      <c r="N34" s="181"/>
      <c r="O34" s="181"/>
      <c r="P34" s="181"/>
      <c r="Q34" s="181"/>
      <c r="R34" s="181"/>
      <c r="S34" s="181"/>
      <c r="T34" s="181"/>
      <c r="U34" s="181"/>
      <c r="V34" s="181"/>
      <c r="W34" s="181"/>
      <c r="X34" s="181"/>
      <c r="Y34" s="181"/>
    </row>
    <row r="35" spans="1:25" ht="16.5" hidden="1" customHeight="1" x14ac:dyDescent="0.2">
      <c r="A35" s="181"/>
      <c r="B35" s="174"/>
      <c r="C35" s="175"/>
      <c r="D35" s="175"/>
      <c r="E35" s="175"/>
      <c r="F35" s="122"/>
      <c r="G35" s="122"/>
      <c r="H35" s="122"/>
      <c r="I35" s="122"/>
      <c r="J35" s="173"/>
      <c r="K35" s="181"/>
      <c r="L35" s="181"/>
      <c r="M35" s="181"/>
      <c r="N35" s="181"/>
      <c r="O35" s="181"/>
      <c r="P35" s="181"/>
      <c r="Q35" s="181"/>
      <c r="R35" s="181"/>
      <c r="S35" s="181"/>
      <c r="T35" s="181"/>
      <c r="U35" s="181"/>
      <c r="V35" s="181"/>
      <c r="W35" s="181"/>
      <c r="X35" s="181"/>
      <c r="Y35" s="181"/>
    </row>
    <row r="36" spans="1:25" ht="16.5" hidden="1" customHeight="1" x14ac:dyDescent="0.2">
      <c r="A36" s="181"/>
      <c r="B36" s="174"/>
      <c r="C36" s="175"/>
      <c r="D36" s="175"/>
      <c r="E36" s="175"/>
      <c r="F36" s="122"/>
      <c r="G36" s="122"/>
      <c r="H36" s="122"/>
      <c r="I36" s="122"/>
      <c r="J36" s="173"/>
      <c r="K36" s="181"/>
      <c r="L36" s="181"/>
      <c r="M36" s="181"/>
      <c r="N36" s="181"/>
      <c r="O36" s="181"/>
      <c r="P36" s="181"/>
      <c r="Q36" s="181"/>
      <c r="R36" s="181"/>
      <c r="S36" s="181"/>
      <c r="T36" s="181"/>
      <c r="U36" s="181"/>
      <c r="V36" s="181"/>
      <c r="W36" s="181"/>
      <c r="X36" s="181"/>
      <c r="Y36" s="181"/>
    </row>
    <row r="37" spans="1:25" ht="16.5" hidden="1" customHeight="1" x14ac:dyDescent="0.2">
      <c r="A37" s="181"/>
      <c r="B37" s="174"/>
      <c r="C37" s="175"/>
      <c r="D37" s="175"/>
      <c r="E37" s="175"/>
      <c r="F37" s="122"/>
      <c r="G37" s="122"/>
      <c r="H37" s="122"/>
      <c r="I37" s="122"/>
      <c r="J37" s="173"/>
      <c r="K37" s="181"/>
      <c r="L37" s="181"/>
      <c r="M37" s="181"/>
      <c r="N37" s="181"/>
      <c r="O37" s="181"/>
      <c r="P37" s="181"/>
      <c r="Q37" s="181"/>
      <c r="R37" s="181"/>
      <c r="S37" s="181"/>
      <c r="T37" s="181"/>
      <c r="U37" s="181"/>
      <c r="V37" s="181"/>
      <c r="W37" s="181"/>
      <c r="X37" s="181"/>
      <c r="Y37" s="181"/>
    </row>
    <row r="38" spans="1:25" ht="16.5" hidden="1" customHeight="1" x14ac:dyDescent="0.2">
      <c r="A38" s="181"/>
      <c r="B38" s="174"/>
      <c r="C38" s="175"/>
      <c r="D38" s="175"/>
      <c r="E38" s="175"/>
      <c r="F38" s="122"/>
      <c r="G38" s="122"/>
      <c r="H38" s="122"/>
      <c r="I38" s="122"/>
      <c r="J38" s="173"/>
      <c r="K38" s="181"/>
      <c r="L38" s="181"/>
      <c r="M38" s="181"/>
      <c r="N38" s="181"/>
      <c r="O38" s="181"/>
      <c r="P38" s="181"/>
      <c r="Q38" s="181"/>
      <c r="R38" s="181"/>
      <c r="S38" s="181"/>
      <c r="T38" s="181"/>
      <c r="U38" s="181"/>
      <c r="V38" s="181"/>
      <c r="W38" s="181"/>
      <c r="X38" s="181"/>
      <c r="Y38" s="181"/>
    </row>
    <row r="39" spans="1:25" ht="16.5" hidden="1" customHeight="1" x14ac:dyDescent="0.2">
      <c r="A39" s="181"/>
      <c r="B39" s="174"/>
      <c r="C39" s="175"/>
      <c r="D39" s="175"/>
      <c r="E39" s="175"/>
      <c r="F39" s="122"/>
      <c r="G39" s="122"/>
      <c r="H39" s="122"/>
      <c r="I39" s="122"/>
      <c r="J39" s="173"/>
      <c r="K39" s="181"/>
      <c r="L39" s="181"/>
      <c r="M39" s="181"/>
      <c r="N39" s="181"/>
      <c r="O39" s="181"/>
      <c r="P39" s="181"/>
      <c r="Q39" s="181"/>
      <c r="R39" s="181"/>
      <c r="S39" s="181"/>
      <c r="T39" s="181"/>
      <c r="U39" s="181"/>
      <c r="V39" s="181"/>
      <c r="W39" s="181"/>
      <c r="X39" s="181"/>
      <c r="Y39" s="181"/>
    </row>
    <row r="40" spans="1:25" ht="16.5" hidden="1" customHeight="1" x14ac:dyDescent="0.2">
      <c r="A40" s="181"/>
      <c r="B40" s="174"/>
      <c r="C40" s="175"/>
      <c r="D40" s="175"/>
      <c r="E40" s="175"/>
      <c r="F40" s="122"/>
      <c r="G40" s="122"/>
      <c r="H40" s="122"/>
      <c r="I40" s="122"/>
      <c r="J40" s="173"/>
      <c r="K40" s="181"/>
      <c r="L40" s="181"/>
      <c r="M40" s="181"/>
      <c r="N40" s="181"/>
      <c r="O40" s="181"/>
      <c r="P40" s="181"/>
      <c r="Q40" s="181"/>
      <c r="R40" s="181"/>
      <c r="S40" s="181"/>
      <c r="T40" s="181"/>
      <c r="U40" s="181"/>
      <c r="V40" s="181"/>
      <c r="W40" s="181"/>
      <c r="X40" s="181"/>
      <c r="Y40" s="181"/>
    </row>
    <row r="41" spans="1:25" ht="16.5" hidden="1" customHeight="1" x14ac:dyDescent="0.2">
      <c r="A41" s="181"/>
      <c r="B41" s="174"/>
      <c r="C41" s="175"/>
      <c r="D41" s="175"/>
      <c r="E41" s="175"/>
      <c r="F41" s="122"/>
      <c r="G41" s="122"/>
      <c r="H41" s="122"/>
      <c r="I41" s="122"/>
      <c r="J41" s="173"/>
      <c r="K41" s="181"/>
      <c r="L41" s="181"/>
      <c r="M41" s="181"/>
      <c r="N41" s="181"/>
      <c r="O41" s="181"/>
      <c r="P41" s="181"/>
      <c r="Q41" s="181"/>
      <c r="R41" s="181"/>
      <c r="S41" s="181"/>
      <c r="T41" s="181"/>
      <c r="U41" s="181"/>
      <c r="V41" s="181"/>
      <c r="W41" s="181"/>
      <c r="X41" s="181"/>
      <c r="Y41" s="181"/>
    </row>
    <row r="42" spans="1:25" ht="16.5" hidden="1" customHeight="1" x14ac:dyDescent="0.2">
      <c r="A42" s="181"/>
      <c r="B42" s="174"/>
      <c r="C42" s="175"/>
      <c r="D42" s="175"/>
      <c r="E42" s="175"/>
      <c r="F42" s="122"/>
      <c r="G42" s="122"/>
      <c r="H42" s="122"/>
      <c r="I42" s="122"/>
      <c r="J42" s="173"/>
      <c r="K42" s="181"/>
      <c r="L42" s="181"/>
      <c r="M42" s="181"/>
      <c r="N42" s="181"/>
      <c r="O42" s="181"/>
      <c r="P42" s="181"/>
      <c r="Q42" s="181"/>
      <c r="R42" s="181"/>
      <c r="S42" s="181"/>
      <c r="T42" s="181"/>
      <c r="U42" s="181"/>
      <c r="V42" s="181"/>
      <c r="W42" s="181"/>
      <c r="X42" s="181"/>
      <c r="Y42" s="181"/>
    </row>
    <row r="43" spans="1:25" ht="16.5" hidden="1" customHeight="1" x14ac:dyDescent="0.2">
      <c r="A43" s="181"/>
      <c r="B43" s="174"/>
      <c r="C43" s="175"/>
      <c r="D43" s="175"/>
      <c r="E43" s="175"/>
      <c r="F43" s="122"/>
      <c r="G43" s="122"/>
      <c r="H43" s="122"/>
      <c r="I43" s="122"/>
      <c r="J43" s="173"/>
      <c r="K43" s="181"/>
      <c r="L43" s="181"/>
      <c r="M43" s="181"/>
      <c r="N43" s="181"/>
      <c r="O43" s="181"/>
      <c r="P43" s="181"/>
      <c r="Q43" s="181"/>
      <c r="R43" s="181"/>
      <c r="S43" s="181"/>
      <c r="T43" s="181"/>
      <c r="U43" s="181"/>
      <c r="V43" s="181"/>
      <c r="W43" s="181"/>
      <c r="X43" s="181"/>
      <c r="Y43" s="181"/>
    </row>
    <row r="44" spans="1:25" ht="16.5" hidden="1" customHeight="1" x14ac:dyDescent="0.2">
      <c r="A44" s="181"/>
      <c r="B44" s="174"/>
      <c r="C44" s="175"/>
      <c r="D44" s="175"/>
      <c r="E44" s="175"/>
      <c r="F44" s="122"/>
      <c r="G44" s="122"/>
      <c r="H44" s="122"/>
      <c r="I44" s="122"/>
      <c r="J44" s="173"/>
      <c r="K44" s="181"/>
      <c r="L44" s="181"/>
      <c r="M44" s="181"/>
      <c r="N44" s="181"/>
      <c r="O44" s="181"/>
      <c r="P44" s="181"/>
      <c r="Q44" s="181"/>
      <c r="R44" s="181"/>
      <c r="S44" s="181"/>
      <c r="T44" s="181"/>
      <c r="U44" s="181"/>
      <c r="V44" s="181"/>
      <c r="W44" s="181"/>
      <c r="X44" s="181"/>
      <c r="Y44" s="181"/>
    </row>
    <row r="45" spans="1:25" ht="16.5" hidden="1" customHeight="1" x14ac:dyDescent="0.2">
      <c r="A45" s="181"/>
      <c r="B45" s="174"/>
      <c r="C45" s="175"/>
      <c r="D45" s="175"/>
      <c r="E45" s="175"/>
      <c r="F45" s="122"/>
      <c r="G45" s="122"/>
      <c r="H45" s="122"/>
      <c r="I45" s="122"/>
      <c r="J45" s="173"/>
      <c r="K45" s="181"/>
      <c r="L45" s="181"/>
      <c r="M45" s="181"/>
      <c r="N45" s="181"/>
      <c r="O45" s="181"/>
      <c r="P45" s="181"/>
      <c r="Q45" s="181"/>
      <c r="R45" s="181"/>
      <c r="S45" s="181"/>
      <c r="T45" s="181"/>
      <c r="U45" s="181"/>
      <c r="V45" s="181"/>
      <c r="W45" s="181"/>
      <c r="X45" s="181"/>
      <c r="Y45" s="181"/>
    </row>
    <row r="46" spans="1:25" ht="16.5" hidden="1" customHeight="1" x14ac:dyDescent="0.2">
      <c r="A46" s="181"/>
      <c r="B46" s="174"/>
      <c r="C46" s="175"/>
      <c r="D46" s="175"/>
      <c r="E46" s="175"/>
      <c r="F46" s="122"/>
      <c r="G46" s="122"/>
      <c r="H46" s="122"/>
      <c r="I46" s="122"/>
      <c r="J46" s="173"/>
      <c r="K46" s="181"/>
      <c r="L46" s="181"/>
      <c r="M46" s="181"/>
      <c r="N46" s="181"/>
      <c r="O46" s="181"/>
      <c r="P46" s="181"/>
      <c r="Q46" s="181"/>
      <c r="R46" s="181"/>
      <c r="S46" s="181"/>
      <c r="T46" s="181"/>
      <c r="U46" s="181"/>
      <c r="V46" s="181"/>
      <c r="W46" s="181"/>
      <c r="X46" s="181"/>
      <c r="Y46" s="181"/>
    </row>
    <row r="47" spans="1:25" ht="16.5" hidden="1" customHeight="1" x14ac:dyDescent="0.2">
      <c r="A47" s="181"/>
      <c r="B47" s="174"/>
      <c r="C47" s="175"/>
      <c r="D47" s="175"/>
      <c r="E47" s="175"/>
      <c r="F47" s="122"/>
      <c r="G47" s="122"/>
      <c r="H47" s="122"/>
      <c r="I47" s="122"/>
      <c r="J47" s="173"/>
      <c r="K47" s="181"/>
      <c r="L47" s="181"/>
      <c r="M47" s="181"/>
      <c r="N47" s="181"/>
      <c r="O47" s="181"/>
      <c r="P47" s="181"/>
      <c r="Q47" s="181"/>
      <c r="R47" s="181"/>
      <c r="S47" s="181"/>
      <c r="T47" s="181"/>
      <c r="U47" s="181"/>
      <c r="V47" s="181"/>
      <c r="W47" s="181"/>
      <c r="X47" s="181"/>
      <c r="Y47" s="181"/>
    </row>
    <row r="48" spans="1:25" ht="16.5" hidden="1" customHeight="1" x14ac:dyDescent="0.2">
      <c r="A48" s="181"/>
      <c r="B48" s="174"/>
      <c r="C48" s="175"/>
      <c r="D48" s="175"/>
      <c r="E48" s="175"/>
      <c r="F48" s="122"/>
      <c r="G48" s="122"/>
      <c r="H48" s="122"/>
      <c r="I48" s="122"/>
      <c r="J48" s="173"/>
      <c r="K48" s="181"/>
      <c r="L48" s="181"/>
      <c r="M48" s="181"/>
      <c r="N48" s="181"/>
      <c r="O48" s="181"/>
      <c r="P48" s="181"/>
      <c r="Q48" s="181"/>
      <c r="R48" s="181"/>
      <c r="S48" s="181"/>
      <c r="T48" s="181"/>
      <c r="U48" s="181"/>
      <c r="V48" s="181"/>
      <c r="W48" s="181"/>
      <c r="X48" s="181"/>
      <c r="Y48" s="181"/>
    </row>
    <row r="49" spans="1:25" ht="16.5" hidden="1" customHeight="1" x14ac:dyDescent="0.2">
      <c r="A49" s="181"/>
      <c r="B49" s="174"/>
      <c r="C49" s="175"/>
      <c r="D49" s="175"/>
      <c r="E49" s="175"/>
      <c r="F49" s="122"/>
      <c r="G49" s="122"/>
      <c r="H49" s="122"/>
      <c r="I49" s="122"/>
      <c r="J49" s="173"/>
      <c r="K49" s="181"/>
      <c r="L49" s="181"/>
      <c r="M49" s="181"/>
      <c r="N49" s="181"/>
      <c r="O49" s="181"/>
      <c r="P49" s="181"/>
      <c r="Q49" s="181"/>
      <c r="R49" s="181"/>
      <c r="S49" s="181"/>
      <c r="T49" s="181"/>
      <c r="U49" s="181"/>
      <c r="V49" s="181"/>
      <c r="W49" s="181"/>
      <c r="X49" s="181"/>
      <c r="Y49" s="181"/>
    </row>
    <row r="50" spans="1:25" ht="16.5" hidden="1" customHeight="1" x14ac:dyDescent="0.2">
      <c r="A50" s="181"/>
      <c r="B50" s="174"/>
      <c r="C50" s="175"/>
      <c r="D50" s="175"/>
      <c r="E50" s="175"/>
      <c r="F50" s="122"/>
      <c r="G50" s="122"/>
      <c r="H50" s="122"/>
      <c r="I50" s="122"/>
      <c r="J50" s="173"/>
      <c r="K50" s="181"/>
      <c r="L50" s="181"/>
      <c r="M50" s="181"/>
      <c r="N50" s="181"/>
      <c r="O50" s="181"/>
      <c r="P50" s="181"/>
      <c r="Q50" s="181"/>
      <c r="R50" s="181"/>
      <c r="S50" s="181"/>
      <c r="T50" s="181"/>
      <c r="U50" s="181"/>
      <c r="V50" s="181"/>
      <c r="W50" s="181"/>
      <c r="X50" s="181"/>
      <c r="Y50" s="181"/>
    </row>
    <row r="51" spans="1:25" ht="16.5" hidden="1" customHeight="1" x14ac:dyDescent="0.2">
      <c r="A51" s="181"/>
      <c r="B51" s="174"/>
      <c r="C51" s="175"/>
      <c r="D51" s="175"/>
      <c r="E51" s="175"/>
      <c r="F51" s="122"/>
      <c r="G51" s="122"/>
      <c r="H51" s="122"/>
      <c r="I51" s="122"/>
      <c r="J51" s="173"/>
      <c r="K51" s="181"/>
      <c r="L51" s="181"/>
      <c r="M51" s="181"/>
      <c r="N51" s="181"/>
      <c r="O51" s="181"/>
      <c r="P51" s="181"/>
      <c r="Q51" s="181"/>
      <c r="R51" s="181"/>
      <c r="S51" s="181"/>
      <c r="T51" s="181"/>
      <c r="U51" s="181"/>
      <c r="V51" s="181"/>
      <c r="W51" s="181"/>
      <c r="X51" s="181"/>
      <c r="Y51" s="181"/>
    </row>
    <row r="52" spans="1:25" ht="16.5" hidden="1" customHeight="1" x14ac:dyDescent="0.2">
      <c r="A52" s="181"/>
      <c r="B52" s="174"/>
      <c r="C52" s="175"/>
      <c r="D52" s="175"/>
      <c r="E52" s="175"/>
      <c r="F52" s="122"/>
      <c r="G52" s="122"/>
      <c r="H52" s="122"/>
      <c r="I52" s="122"/>
      <c r="J52" s="173"/>
      <c r="K52" s="181"/>
      <c r="L52" s="181"/>
      <c r="M52" s="181"/>
      <c r="N52" s="181"/>
      <c r="O52" s="181"/>
      <c r="P52" s="181"/>
      <c r="Q52" s="181"/>
      <c r="R52" s="181"/>
      <c r="S52" s="181"/>
      <c r="T52" s="181"/>
      <c r="U52" s="181"/>
      <c r="V52" s="181"/>
      <c r="W52" s="181"/>
      <c r="X52" s="181"/>
      <c r="Y52" s="181"/>
    </row>
    <row r="53" spans="1:25" ht="16.5" hidden="1" customHeight="1" x14ac:dyDescent="0.2">
      <c r="A53" s="181"/>
      <c r="B53" s="174"/>
      <c r="C53" s="175"/>
      <c r="D53" s="175"/>
      <c r="E53" s="175"/>
      <c r="F53" s="122"/>
      <c r="G53" s="122"/>
      <c r="H53" s="122"/>
      <c r="I53" s="122"/>
      <c r="J53" s="173"/>
      <c r="K53" s="181"/>
      <c r="L53" s="181"/>
      <c r="M53" s="181"/>
      <c r="N53" s="181"/>
      <c r="O53" s="181"/>
      <c r="P53" s="181"/>
      <c r="Q53" s="181"/>
      <c r="R53" s="181"/>
      <c r="S53" s="181"/>
      <c r="T53" s="181"/>
      <c r="U53" s="181"/>
      <c r="V53" s="181"/>
      <c r="W53" s="181"/>
      <c r="X53" s="181"/>
      <c r="Y53" s="181"/>
    </row>
    <row r="54" spans="1:25" ht="16.5" hidden="1" customHeight="1" x14ac:dyDescent="0.2">
      <c r="A54" s="181"/>
      <c r="B54" s="174"/>
      <c r="C54" s="175"/>
      <c r="D54" s="175"/>
      <c r="E54" s="175"/>
      <c r="F54" s="122"/>
      <c r="G54" s="122"/>
      <c r="H54" s="122"/>
      <c r="I54" s="122"/>
      <c r="J54" s="173"/>
      <c r="K54" s="181"/>
      <c r="L54" s="181"/>
      <c r="M54" s="181"/>
      <c r="N54" s="181"/>
      <c r="O54" s="181"/>
      <c r="P54" s="181"/>
      <c r="Q54" s="181"/>
      <c r="R54" s="181"/>
      <c r="S54" s="181"/>
      <c r="T54" s="181"/>
      <c r="U54" s="181"/>
      <c r="V54" s="181"/>
      <c r="W54" s="181"/>
      <c r="X54" s="181"/>
      <c r="Y54" s="181"/>
    </row>
    <row r="55" spans="1:25" ht="16.5" hidden="1" customHeight="1" x14ac:dyDescent="0.2">
      <c r="A55" s="181"/>
      <c r="B55" s="174"/>
      <c r="C55" s="175"/>
      <c r="D55" s="175"/>
      <c r="E55" s="175"/>
      <c r="F55" s="122"/>
      <c r="G55" s="122"/>
      <c r="H55" s="122"/>
      <c r="I55" s="122"/>
      <c r="J55" s="173"/>
      <c r="K55" s="181"/>
      <c r="L55" s="181"/>
      <c r="M55" s="181"/>
      <c r="N55" s="181"/>
      <c r="O55" s="181"/>
      <c r="P55" s="181"/>
      <c r="Q55" s="181"/>
      <c r="R55" s="181"/>
      <c r="S55" s="181"/>
      <c r="T55" s="181"/>
      <c r="U55" s="181"/>
      <c r="V55" s="181"/>
      <c r="W55" s="181"/>
      <c r="X55" s="181"/>
      <c r="Y55" s="181"/>
    </row>
    <row r="56" spans="1:25" ht="16.5" hidden="1" customHeight="1" x14ac:dyDescent="0.2">
      <c r="A56" s="181"/>
      <c r="B56" s="174"/>
      <c r="C56" s="175"/>
      <c r="D56" s="175"/>
      <c r="E56" s="175"/>
      <c r="F56" s="122"/>
      <c r="G56" s="122"/>
      <c r="H56" s="122"/>
      <c r="I56" s="122"/>
      <c r="J56" s="173"/>
      <c r="K56" s="181"/>
      <c r="L56" s="181"/>
      <c r="M56" s="181"/>
      <c r="N56" s="181"/>
      <c r="O56" s="181"/>
      <c r="P56" s="181"/>
      <c r="Q56" s="181"/>
      <c r="R56" s="181"/>
      <c r="S56" s="181"/>
      <c r="T56" s="181"/>
      <c r="U56" s="181"/>
      <c r="V56" s="181"/>
      <c r="W56" s="181"/>
      <c r="X56" s="181"/>
      <c r="Y56" s="181"/>
    </row>
    <row r="57" spans="1:25" ht="16.5" hidden="1" customHeight="1" x14ac:dyDescent="0.2">
      <c r="A57" s="181"/>
      <c r="B57" s="174"/>
      <c r="C57" s="175"/>
      <c r="D57" s="175"/>
      <c r="E57" s="175"/>
      <c r="F57" s="122"/>
      <c r="G57" s="122"/>
      <c r="H57" s="122"/>
      <c r="I57" s="122"/>
      <c r="J57" s="173"/>
      <c r="K57" s="181"/>
      <c r="L57" s="181"/>
      <c r="M57" s="181"/>
      <c r="N57" s="181"/>
      <c r="O57" s="181"/>
      <c r="P57" s="181"/>
      <c r="Q57" s="181"/>
      <c r="R57" s="181"/>
      <c r="S57" s="181"/>
      <c r="T57" s="181"/>
      <c r="U57" s="181"/>
      <c r="V57" s="181"/>
      <c r="W57" s="181"/>
      <c r="X57" s="181"/>
      <c r="Y57" s="181"/>
    </row>
    <row r="58" spans="1:25" ht="15" hidden="1" customHeight="1" x14ac:dyDescent="0.2">
      <c r="A58" s="181"/>
      <c r="B58" s="174"/>
      <c r="C58" s="175"/>
      <c r="D58" s="175"/>
      <c r="E58" s="175"/>
      <c r="F58" s="122"/>
      <c r="G58" s="122"/>
      <c r="H58" s="122"/>
      <c r="I58" s="122"/>
      <c r="J58" s="173"/>
      <c r="K58" s="181"/>
      <c r="L58" s="181"/>
      <c r="M58" s="181"/>
      <c r="N58" s="181"/>
      <c r="O58" s="181"/>
      <c r="P58" s="181"/>
      <c r="Q58" s="181"/>
      <c r="R58" s="181"/>
      <c r="S58" s="181"/>
      <c r="T58" s="181"/>
      <c r="U58" s="181"/>
      <c r="V58" s="181"/>
      <c r="W58" s="181"/>
      <c r="X58" s="181"/>
      <c r="Y58" s="181"/>
    </row>
    <row r="59" spans="1:25" ht="15" hidden="1" customHeight="1" x14ac:dyDescent="0.2">
      <c r="A59" s="181"/>
      <c r="B59" s="174"/>
      <c r="C59" s="175"/>
      <c r="D59" s="175"/>
      <c r="E59" s="175"/>
      <c r="F59" s="122"/>
      <c r="G59" s="122"/>
      <c r="H59" s="122"/>
      <c r="I59" s="122"/>
      <c r="J59" s="173"/>
      <c r="K59" s="181"/>
      <c r="L59" s="181"/>
      <c r="M59" s="181"/>
      <c r="N59" s="181"/>
      <c r="O59" s="181"/>
      <c r="P59" s="181"/>
      <c r="Q59" s="181"/>
      <c r="R59" s="181"/>
      <c r="S59" s="181"/>
      <c r="T59" s="181"/>
      <c r="U59" s="181"/>
      <c r="V59" s="181"/>
      <c r="W59" s="181"/>
      <c r="X59" s="181"/>
      <c r="Y59" s="181"/>
    </row>
    <row r="60" spans="1:25" ht="15" hidden="1" customHeight="1" x14ac:dyDescent="0.2">
      <c r="A60" s="181"/>
      <c r="B60" s="174"/>
      <c r="C60" s="175"/>
      <c r="D60" s="175"/>
      <c r="E60" s="175"/>
      <c r="F60" s="122"/>
      <c r="G60" s="122"/>
      <c r="H60" s="122"/>
      <c r="I60" s="122"/>
      <c r="J60" s="173"/>
      <c r="K60" s="181"/>
      <c r="L60" s="181"/>
      <c r="M60" s="181"/>
      <c r="N60" s="181"/>
      <c r="O60" s="181"/>
      <c r="P60" s="181"/>
      <c r="Q60" s="181"/>
      <c r="R60" s="181"/>
      <c r="S60" s="181"/>
      <c r="T60" s="181"/>
      <c r="U60" s="181"/>
      <c r="V60" s="181"/>
      <c r="W60" s="181"/>
      <c r="X60" s="181"/>
      <c r="Y60" s="181"/>
    </row>
    <row r="61" spans="1:25" ht="15" hidden="1" customHeight="1" x14ac:dyDescent="0.2">
      <c r="A61" s="181"/>
      <c r="B61" s="174"/>
      <c r="C61" s="175"/>
      <c r="D61" s="175"/>
      <c r="E61" s="175"/>
      <c r="F61" s="122"/>
      <c r="G61" s="122"/>
      <c r="H61" s="122"/>
      <c r="I61" s="122"/>
      <c r="J61" s="173"/>
      <c r="K61" s="181"/>
      <c r="L61" s="181"/>
      <c r="M61" s="181"/>
      <c r="N61" s="181"/>
      <c r="O61" s="181"/>
      <c r="P61" s="181"/>
      <c r="Q61" s="181"/>
      <c r="R61" s="181"/>
      <c r="S61" s="181"/>
      <c r="T61" s="181"/>
      <c r="U61" s="181"/>
      <c r="V61" s="181"/>
      <c r="W61" s="181"/>
      <c r="X61" s="181"/>
      <c r="Y61" s="181"/>
    </row>
    <row r="62" spans="1:25" ht="15" hidden="1" customHeight="1" x14ac:dyDescent="0.2">
      <c r="A62" s="181"/>
      <c r="B62" s="174"/>
      <c r="C62" s="175"/>
      <c r="D62" s="175"/>
      <c r="E62" s="175"/>
      <c r="F62" s="122"/>
      <c r="G62" s="122"/>
      <c r="H62" s="122"/>
      <c r="I62" s="122"/>
      <c r="J62" s="173"/>
      <c r="K62" s="181"/>
      <c r="L62" s="181"/>
      <c r="M62" s="181"/>
      <c r="N62" s="181"/>
      <c r="O62" s="181"/>
      <c r="P62" s="181"/>
      <c r="Q62" s="181"/>
      <c r="R62" s="181"/>
      <c r="S62" s="181"/>
      <c r="T62" s="181"/>
      <c r="U62" s="181"/>
      <c r="V62" s="181"/>
      <c r="W62" s="181"/>
      <c r="X62" s="181"/>
      <c r="Y62" s="181"/>
    </row>
    <row r="63" spans="1:25" ht="15" hidden="1" customHeight="1" x14ac:dyDescent="0.2">
      <c r="A63" s="181"/>
      <c r="B63" s="174"/>
      <c r="C63" s="175"/>
      <c r="D63" s="175"/>
      <c r="E63" s="175"/>
      <c r="F63" s="122"/>
      <c r="G63" s="122"/>
      <c r="H63" s="122"/>
      <c r="I63" s="122"/>
      <c r="J63" s="173"/>
      <c r="K63" s="181"/>
      <c r="L63" s="181"/>
      <c r="M63" s="181"/>
      <c r="N63" s="181"/>
      <c r="O63" s="181"/>
      <c r="P63" s="181"/>
      <c r="Q63" s="181"/>
      <c r="R63" s="181"/>
      <c r="S63" s="181"/>
      <c r="T63" s="181"/>
      <c r="U63" s="181"/>
      <c r="V63" s="181"/>
      <c r="W63" s="181"/>
      <c r="X63" s="181"/>
      <c r="Y63" s="181"/>
    </row>
    <row r="64" spans="1:25" ht="15" hidden="1" customHeight="1" x14ac:dyDescent="0.2">
      <c r="A64" s="181"/>
      <c r="B64" s="174"/>
      <c r="C64" s="175"/>
      <c r="D64" s="175"/>
      <c r="E64" s="175"/>
      <c r="F64" s="122"/>
      <c r="G64" s="122"/>
      <c r="H64" s="122"/>
      <c r="I64" s="122"/>
      <c r="J64" s="173"/>
      <c r="K64" s="181"/>
      <c r="L64" s="181"/>
      <c r="M64" s="181"/>
      <c r="N64" s="181"/>
      <c r="O64" s="181"/>
      <c r="P64" s="181"/>
      <c r="Q64" s="181"/>
      <c r="R64" s="181"/>
      <c r="S64" s="181"/>
      <c r="T64" s="181"/>
      <c r="U64" s="181"/>
      <c r="V64" s="181"/>
      <c r="W64" s="181"/>
      <c r="X64" s="181"/>
      <c r="Y64" s="181"/>
    </row>
    <row r="65" spans="1:25" ht="15" hidden="1" customHeight="1" x14ac:dyDescent="0.2">
      <c r="A65" s="181"/>
      <c r="B65" s="174"/>
      <c r="C65" s="175"/>
      <c r="D65" s="175"/>
      <c r="E65" s="175"/>
      <c r="F65" s="122"/>
      <c r="G65" s="122"/>
      <c r="H65" s="122"/>
      <c r="I65" s="122"/>
      <c r="J65" s="173"/>
      <c r="K65" s="181"/>
      <c r="L65" s="181"/>
      <c r="M65" s="181"/>
      <c r="N65" s="181"/>
      <c r="O65" s="181"/>
      <c r="P65" s="181"/>
      <c r="Q65" s="181"/>
      <c r="R65" s="181"/>
      <c r="S65" s="181"/>
      <c r="T65" s="181"/>
      <c r="U65" s="181"/>
      <c r="V65" s="181"/>
      <c r="W65" s="181"/>
      <c r="X65" s="181"/>
      <c r="Y65" s="181"/>
    </row>
    <row r="66" spans="1:25" ht="15" hidden="1" customHeight="1" x14ac:dyDescent="0.2">
      <c r="A66" s="181"/>
      <c r="B66" s="174"/>
      <c r="C66" s="175"/>
      <c r="D66" s="175"/>
      <c r="E66" s="175"/>
      <c r="F66" s="122"/>
      <c r="G66" s="122"/>
      <c r="H66" s="122"/>
      <c r="I66" s="122"/>
      <c r="J66" s="173"/>
      <c r="K66" s="181"/>
      <c r="L66" s="181"/>
      <c r="M66" s="181"/>
      <c r="N66" s="181"/>
      <c r="O66" s="181"/>
      <c r="P66" s="181"/>
      <c r="Q66" s="181"/>
      <c r="R66" s="181"/>
      <c r="S66" s="181"/>
      <c r="T66" s="181"/>
      <c r="U66" s="181"/>
      <c r="V66" s="181"/>
      <c r="W66" s="181"/>
      <c r="X66" s="181"/>
      <c r="Y66" s="181"/>
    </row>
    <row r="67" spans="1:25" ht="15" hidden="1" customHeight="1" x14ac:dyDescent="0.2">
      <c r="A67" s="181"/>
      <c r="B67" s="174"/>
      <c r="C67" s="175"/>
      <c r="D67" s="175"/>
      <c r="E67" s="175"/>
      <c r="F67" s="122"/>
      <c r="G67" s="122"/>
      <c r="H67" s="122"/>
      <c r="I67" s="122"/>
      <c r="J67" s="173"/>
      <c r="K67" s="181"/>
      <c r="L67" s="181"/>
      <c r="M67" s="181"/>
      <c r="N67" s="181"/>
      <c r="O67" s="181"/>
      <c r="P67" s="181"/>
      <c r="Q67" s="181"/>
      <c r="R67" s="181"/>
      <c r="S67" s="181"/>
      <c r="T67" s="181"/>
      <c r="U67" s="181"/>
      <c r="V67" s="181"/>
      <c r="W67" s="181"/>
      <c r="X67" s="181"/>
      <c r="Y67" s="181"/>
    </row>
    <row r="68" spans="1:25" ht="15.75" hidden="1" customHeight="1" x14ac:dyDescent="0.2">
      <c r="A68" s="181"/>
      <c r="B68" s="174"/>
      <c r="C68" s="175"/>
      <c r="D68" s="175"/>
      <c r="E68" s="175"/>
      <c r="F68" s="122"/>
      <c r="G68" s="122"/>
      <c r="H68" s="122"/>
      <c r="I68" s="122"/>
      <c r="J68" s="173"/>
      <c r="K68" s="181"/>
      <c r="L68" s="181"/>
      <c r="M68" s="181"/>
      <c r="N68" s="181"/>
      <c r="O68" s="181"/>
      <c r="P68" s="181"/>
      <c r="Q68" s="181"/>
      <c r="R68" s="181"/>
      <c r="S68" s="181"/>
      <c r="T68" s="181"/>
      <c r="U68" s="181"/>
      <c r="V68" s="181"/>
      <c r="W68" s="181"/>
      <c r="X68" s="181"/>
      <c r="Y68" s="181"/>
    </row>
    <row r="69" spans="1:25" ht="15.75" hidden="1" customHeight="1" x14ac:dyDescent="0.2">
      <c r="A69" s="181"/>
      <c r="B69" s="174"/>
      <c r="C69" s="175"/>
      <c r="D69" s="175"/>
      <c r="E69" s="175"/>
      <c r="F69" s="122"/>
      <c r="G69" s="122"/>
      <c r="H69" s="122"/>
      <c r="I69" s="122"/>
      <c r="J69" s="173"/>
      <c r="K69" s="181"/>
      <c r="L69" s="181"/>
      <c r="M69" s="181"/>
      <c r="N69" s="181"/>
      <c r="O69" s="181"/>
      <c r="P69" s="181"/>
      <c r="Q69" s="181"/>
      <c r="R69" s="181"/>
      <c r="S69" s="181"/>
      <c r="T69" s="181"/>
      <c r="U69" s="181"/>
      <c r="V69" s="181"/>
      <c r="W69" s="181"/>
      <c r="X69" s="181"/>
      <c r="Y69" s="181"/>
    </row>
    <row r="70" spans="1:25" ht="15.75" hidden="1" customHeight="1" x14ac:dyDescent="0.2">
      <c r="A70" s="181"/>
      <c r="B70" s="174"/>
      <c r="C70" s="175"/>
      <c r="D70" s="175"/>
      <c r="E70" s="175"/>
      <c r="F70" s="122"/>
      <c r="G70" s="122"/>
      <c r="H70" s="122"/>
      <c r="I70" s="122"/>
      <c r="J70" s="173"/>
      <c r="K70" s="181"/>
      <c r="L70" s="181"/>
      <c r="M70" s="181"/>
      <c r="N70" s="181"/>
      <c r="O70" s="181"/>
      <c r="P70" s="181"/>
      <c r="Q70" s="181"/>
      <c r="R70" s="181"/>
      <c r="S70" s="181"/>
      <c r="T70" s="181"/>
      <c r="U70" s="181"/>
      <c r="V70" s="181"/>
      <c r="W70" s="181"/>
      <c r="X70" s="181"/>
      <c r="Y70" s="181"/>
    </row>
    <row r="71" spans="1:25" ht="15.75" hidden="1" customHeight="1" x14ac:dyDescent="0.2">
      <c r="A71" s="181"/>
      <c r="B71" s="174"/>
      <c r="C71" s="175"/>
      <c r="D71" s="175"/>
      <c r="E71" s="175"/>
      <c r="F71" s="122"/>
      <c r="G71" s="122"/>
      <c r="H71" s="122"/>
      <c r="I71" s="122"/>
      <c r="J71" s="173"/>
      <c r="K71" s="181"/>
      <c r="L71" s="181"/>
      <c r="M71" s="181"/>
      <c r="N71" s="181"/>
      <c r="O71" s="181"/>
      <c r="P71" s="181"/>
      <c r="Q71" s="181"/>
      <c r="R71" s="181"/>
      <c r="S71" s="181"/>
      <c r="T71" s="181"/>
      <c r="U71" s="181"/>
      <c r="V71" s="181"/>
      <c r="W71" s="181"/>
      <c r="X71" s="181"/>
      <c r="Y71" s="181"/>
    </row>
    <row r="72" spans="1:25" ht="15.75" hidden="1" customHeight="1" x14ac:dyDescent="0.2">
      <c r="A72" s="181"/>
      <c r="B72" s="174"/>
      <c r="C72" s="175"/>
      <c r="D72" s="175"/>
      <c r="E72" s="175"/>
      <c r="F72" s="122"/>
      <c r="G72" s="122"/>
      <c r="H72" s="122"/>
      <c r="I72" s="122"/>
      <c r="J72" s="173"/>
      <c r="K72" s="181"/>
      <c r="L72" s="181"/>
      <c r="M72" s="181"/>
      <c r="N72" s="181"/>
      <c r="O72" s="181"/>
      <c r="P72" s="181"/>
      <c r="Q72" s="181"/>
      <c r="R72" s="181"/>
      <c r="S72" s="181"/>
      <c r="T72" s="181"/>
      <c r="U72" s="181"/>
      <c r="V72" s="181"/>
      <c r="W72" s="181"/>
      <c r="X72" s="181"/>
      <c r="Y72" s="181"/>
    </row>
    <row r="73" spans="1:25" ht="15.75" hidden="1" customHeight="1" x14ac:dyDescent="0.2">
      <c r="A73" s="181"/>
      <c r="B73" s="174"/>
      <c r="C73" s="175"/>
      <c r="D73" s="175"/>
      <c r="E73" s="175"/>
      <c r="F73" s="122"/>
      <c r="G73" s="122"/>
      <c r="H73" s="122"/>
      <c r="I73" s="122"/>
      <c r="J73" s="173"/>
      <c r="K73" s="181"/>
      <c r="L73" s="181"/>
      <c r="M73" s="181"/>
      <c r="N73" s="181"/>
      <c r="O73" s="181"/>
      <c r="P73" s="181"/>
      <c r="Q73" s="181"/>
      <c r="R73" s="181"/>
      <c r="S73" s="181"/>
      <c r="T73" s="181"/>
      <c r="U73" s="181"/>
      <c r="V73" s="181"/>
      <c r="W73" s="181"/>
      <c r="X73" s="181"/>
      <c r="Y73" s="181"/>
    </row>
    <row r="74" spans="1:25" ht="15.75" hidden="1" customHeight="1" x14ac:dyDescent="0.2">
      <c r="A74" s="181"/>
      <c r="B74" s="174"/>
      <c r="C74" s="175"/>
      <c r="D74" s="175"/>
      <c r="E74" s="175"/>
      <c r="F74" s="122"/>
      <c r="G74" s="122"/>
      <c r="H74" s="122"/>
      <c r="I74" s="122"/>
      <c r="J74" s="173"/>
      <c r="K74" s="181"/>
      <c r="L74" s="181"/>
      <c r="M74" s="181"/>
      <c r="N74" s="181"/>
      <c r="O74" s="181"/>
      <c r="P74" s="181"/>
      <c r="Q74" s="181"/>
      <c r="R74" s="181"/>
      <c r="S74" s="181"/>
      <c r="T74" s="181"/>
      <c r="U74" s="181"/>
      <c r="V74" s="181"/>
      <c r="W74" s="181"/>
      <c r="X74" s="181"/>
      <c r="Y74" s="181"/>
    </row>
    <row r="75" spans="1:25" ht="15.75" hidden="1" customHeight="1" x14ac:dyDescent="0.2">
      <c r="A75" s="181"/>
      <c r="B75" s="174"/>
      <c r="C75" s="175"/>
      <c r="D75" s="175"/>
      <c r="E75" s="175"/>
      <c r="F75" s="122"/>
      <c r="G75" s="122"/>
      <c r="H75" s="122"/>
      <c r="I75" s="122"/>
      <c r="J75" s="173"/>
      <c r="K75" s="181"/>
      <c r="L75" s="181"/>
      <c r="M75" s="181"/>
      <c r="N75" s="181"/>
      <c r="O75" s="181"/>
      <c r="P75" s="181"/>
      <c r="Q75" s="181"/>
      <c r="R75" s="181"/>
      <c r="S75" s="181"/>
      <c r="T75" s="181"/>
      <c r="U75" s="181"/>
      <c r="V75" s="181"/>
      <c r="W75" s="181"/>
      <c r="X75" s="181"/>
      <c r="Y75" s="181"/>
    </row>
    <row r="76" spans="1:25" ht="15.75" hidden="1" customHeight="1" x14ac:dyDescent="0.2">
      <c r="A76" s="181"/>
      <c r="B76" s="174"/>
      <c r="C76" s="175"/>
      <c r="D76" s="175"/>
      <c r="E76" s="175"/>
      <c r="F76" s="122"/>
      <c r="G76" s="122"/>
      <c r="H76" s="122"/>
      <c r="I76" s="122"/>
      <c r="J76" s="173"/>
      <c r="K76" s="181"/>
      <c r="L76" s="181"/>
      <c r="M76" s="181"/>
      <c r="N76" s="181"/>
      <c r="O76" s="181"/>
      <c r="P76" s="181"/>
      <c r="Q76" s="181"/>
      <c r="R76" s="181"/>
      <c r="S76" s="181"/>
      <c r="T76" s="181"/>
      <c r="U76" s="181"/>
      <c r="V76" s="181"/>
      <c r="W76" s="181"/>
      <c r="X76" s="181"/>
      <c r="Y76" s="181"/>
    </row>
    <row r="77" spans="1:25" ht="15.75" hidden="1" customHeight="1" x14ac:dyDescent="0.2">
      <c r="A77" s="181"/>
      <c r="B77" s="174"/>
      <c r="C77" s="175"/>
      <c r="D77" s="175"/>
      <c r="E77" s="175"/>
      <c r="F77" s="122"/>
      <c r="G77" s="122"/>
      <c r="H77" s="122"/>
      <c r="I77" s="122"/>
      <c r="J77" s="173"/>
      <c r="K77" s="181"/>
      <c r="L77" s="181"/>
      <c r="M77" s="181"/>
      <c r="N77" s="181"/>
      <c r="O77" s="181"/>
      <c r="P77" s="181"/>
      <c r="Q77" s="181"/>
      <c r="R77" s="181"/>
      <c r="S77" s="181"/>
      <c r="T77" s="181"/>
      <c r="U77" s="181"/>
      <c r="V77" s="181"/>
      <c r="W77" s="181"/>
      <c r="X77" s="181"/>
      <c r="Y77" s="181"/>
    </row>
    <row r="78" spans="1:25" ht="15.75" hidden="1" customHeight="1" x14ac:dyDescent="0.2">
      <c r="A78" s="181"/>
      <c r="B78" s="174"/>
      <c r="C78" s="175"/>
      <c r="D78" s="175"/>
      <c r="E78" s="175"/>
      <c r="F78" s="122"/>
      <c r="G78" s="122"/>
      <c r="H78" s="122"/>
      <c r="I78" s="122"/>
      <c r="J78" s="173"/>
      <c r="K78" s="181"/>
      <c r="L78" s="181"/>
      <c r="M78" s="181"/>
      <c r="N78" s="181"/>
      <c r="O78" s="181"/>
      <c r="P78" s="181"/>
      <c r="Q78" s="181"/>
      <c r="R78" s="181"/>
      <c r="S78" s="181"/>
      <c r="T78" s="181"/>
      <c r="U78" s="181"/>
      <c r="V78" s="181"/>
      <c r="W78" s="181"/>
      <c r="X78" s="181"/>
      <c r="Y78" s="181"/>
    </row>
    <row r="79" spans="1:25" ht="15.75" hidden="1" customHeight="1" x14ac:dyDescent="0.2">
      <c r="A79" s="181"/>
      <c r="B79" s="174"/>
      <c r="C79" s="175"/>
      <c r="D79" s="175"/>
      <c r="E79" s="175"/>
      <c r="F79" s="122"/>
      <c r="G79" s="122"/>
      <c r="H79" s="122"/>
      <c r="I79" s="122"/>
      <c r="J79" s="173"/>
      <c r="K79" s="181"/>
      <c r="L79" s="181"/>
      <c r="M79" s="181"/>
      <c r="N79" s="181"/>
      <c r="O79" s="181"/>
      <c r="P79" s="181"/>
      <c r="Q79" s="181"/>
      <c r="R79" s="181"/>
      <c r="S79" s="181"/>
      <c r="T79" s="181"/>
      <c r="U79" s="181"/>
      <c r="V79" s="181"/>
      <c r="W79" s="181"/>
      <c r="X79" s="181"/>
      <c r="Y79" s="181"/>
    </row>
    <row r="80" spans="1:25" ht="15.75" hidden="1" customHeight="1" x14ac:dyDescent="0.2">
      <c r="A80" s="181"/>
      <c r="B80" s="174"/>
      <c r="C80" s="175"/>
      <c r="D80" s="175"/>
      <c r="E80" s="175"/>
      <c r="F80" s="122"/>
      <c r="G80" s="122"/>
      <c r="H80" s="122"/>
      <c r="I80" s="122"/>
      <c r="J80" s="173"/>
      <c r="K80" s="181"/>
      <c r="L80" s="181"/>
      <c r="M80" s="181"/>
      <c r="N80" s="181"/>
      <c r="O80" s="181"/>
      <c r="P80" s="181"/>
      <c r="Q80" s="181"/>
      <c r="R80" s="181"/>
      <c r="S80" s="181"/>
      <c r="T80" s="181"/>
      <c r="U80" s="181"/>
      <c r="V80" s="181"/>
      <c r="W80" s="181"/>
      <c r="X80" s="181"/>
      <c r="Y80" s="181"/>
    </row>
    <row r="81" spans="1:25" ht="15.75" hidden="1" customHeight="1" x14ac:dyDescent="0.2">
      <c r="A81" s="181"/>
      <c r="B81" s="174"/>
      <c r="C81" s="175"/>
      <c r="D81" s="175"/>
      <c r="E81" s="175"/>
      <c r="F81" s="122"/>
      <c r="G81" s="122"/>
      <c r="H81" s="122"/>
      <c r="I81" s="122"/>
      <c r="J81" s="173"/>
      <c r="K81" s="181"/>
      <c r="L81" s="181"/>
      <c r="M81" s="181"/>
      <c r="N81" s="181"/>
      <c r="O81" s="181"/>
      <c r="P81" s="181"/>
      <c r="Q81" s="181"/>
      <c r="R81" s="181"/>
      <c r="S81" s="181"/>
      <c r="T81" s="181"/>
      <c r="U81" s="181"/>
      <c r="V81" s="181"/>
      <c r="W81" s="181"/>
      <c r="X81" s="181"/>
      <c r="Y81" s="181"/>
    </row>
    <row r="82" spans="1:25" ht="15.75" hidden="1" customHeight="1" x14ac:dyDescent="0.2">
      <c r="A82" s="181"/>
      <c r="B82" s="174"/>
      <c r="C82" s="175"/>
      <c r="D82" s="175"/>
      <c r="E82" s="175"/>
      <c r="F82" s="122"/>
      <c r="G82" s="122"/>
      <c r="H82" s="122"/>
      <c r="I82" s="122"/>
      <c r="J82" s="173"/>
      <c r="K82" s="181"/>
      <c r="L82" s="181"/>
      <c r="M82" s="181"/>
      <c r="N82" s="181"/>
      <c r="O82" s="181"/>
      <c r="P82" s="181"/>
      <c r="Q82" s="181"/>
      <c r="R82" s="181"/>
      <c r="S82" s="181"/>
      <c r="T82" s="181"/>
      <c r="U82" s="181"/>
      <c r="V82" s="181"/>
      <c r="W82" s="181"/>
      <c r="X82" s="181"/>
      <c r="Y82" s="181"/>
    </row>
    <row r="83" spans="1:25" ht="15.75" hidden="1" customHeight="1" x14ac:dyDescent="0.2">
      <c r="A83" s="181"/>
      <c r="B83" s="174"/>
      <c r="C83" s="175"/>
      <c r="D83" s="175"/>
      <c r="E83" s="175"/>
      <c r="F83" s="122"/>
      <c r="G83" s="122"/>
      <c r="H83" s="122"/>
      <c r="I83" s="122"/>
      <c r="J83" s="173"/>
      <c r="K83" s="181"/>
      <c r="L83" s="181"/>
      <c r="M83" s="181"/>
      <c r="N83" s="181"/>
      <c r="O83" s="181"/>
      <c r="P83" s="181"/>
      <c r="Q83" s="181"/>
      <c r="R83" s="181"/>
      <c r="S83" s="181"/>
      <c r="T83" s="181"/>
      <c r="U83" s="181"/>
      <c r="V83" s="181"/>
      <c r="W83" s="181"/>
      <c r="X83" s="181"/>
      <c r="Y83" s="181"/>
    </row>
    <row r="84" spans="1:25" ht="15.75" hidden="1" customHeight="1" x14ac:dyDescent="0.2">
      <c r="A84" s="181"/>
      <c r="B84" s="174"/>
      <c r="C84" s="175"/>
      <c r="D84" s="175"/>
      <c r="E84" s="175"/>
      <c r="F84" s="122"/>
      <c r="G84" s="122"/>
      <c r="H84" s="122"/>
      <c r="I84" s="122"/>
      <c r="J84" s="173"/>
      <c r="K84" s="181"/>
      <c r="L84" s="181"/>
      <c r="M84" s="181"/>
      <c r="N84" s="181"/>
      <c r="O84" s="181"/>
      <c r="P84" s="181"/>
      <c r="Q84" s="181"/>
      <c r="R84" s="181"/>
      <c r="S84" s="181"/>
      <c r="T84" s="181"/>
      <c r="U84" s="181"/>
      <c r="V84" s="181"/>
      <c r="W84" s="181"/>
      <c r="X84" s="181"/>
      <c r="Y84" s="181"/>
    </row>
    <row r="85" spans="1:25" ht="15.75" hidden="1" customHeight="1" x14ac:dyDescent="0.2">
      <c r="A85" s="181"/>
      <c r="B85" s="174"/>
      <c r="C85" s="175"/>
      <c r="D85" s="175"/>
      <c r="E85" s="175"/>
      <c r="F85" s="122"/>
      <c r="G85" s="122"/>
      <c r="H85" s="122"/>
      <c r="I85" s="122"/>
      <c r="J85" s="173"/>
      <c r="K85" s="181"/>
      <c r="L85" s="181"/>
      <c r="M85" s="181"/>
      <c r="N85" s="181"/>
      <c r="O85" s="181"/>
      <c r="P85" s="181"/>
      <c r="Q85" s="181"/>
      <c r="R85" s="181"/>
      <c r="S85" s="181"/>
      <c r="T85" s="181"/>
      <c r="U85" s="181"/>
      <c r="V85" s="181"/>
      <c r="W85" s="181"/>
      <c r="X85" s="181"/>
      <c r="Y85" s="181"/>
    </row>
    <row r="86" spans="1:25" ht="15.75" hidden="1" customHeight="1" x14ac:dyDescent="0.2">
      <c r="A86" s="181"/>
      <c r="B86" s="174"/>
      <c r="C86" s="175"/>
      <c r="D86" s="175"/>
      <c r="E86" s="175"/>
      <c r="F86" s="122"/>
      <c r="G86" s="122"/>
      <c r="H86" s="122"/>
      <c r="I86" s="122"/>
      <c r="J86" s="173"/>
      <c r="K86" s="181"/>
      <c r="L86" s="181"/>
      <c r="M86" s="181"/>
      <c r="N86" s="181"/>
      <c r="O86" s="181"/>
      <c r="P86" s="181"/>
      <c r="Q86" s="181"/>
      <c r="R86" s="181"/>
      <c r="S86" s="181"/>
      <c r="T86" s="181"/>
      <c r="U86" s="181"/>
      <c r="V86" s="181"/>
      <c r="W86" s="181"/>
      <c r="X86" s="181"/>
      <c r="Y86" s="181"/>
    </row>
    <row r="87" spans="1:25" ht="15.75" hidden="1" customHeight="1" x14ac:dyDescent="0.2">
      <c r="A87" s="181"/>
      <c r="B87" s="174"/>
      <c r="C87" s="175"/>
      <c r="D87" s="175"/>
      <c r="E87" s="175"/>
      <c r="F87" s="122"/>
      <c r="G87" s="122"/>
      <c r="H87" s="122"/>
      <c r="I87" s="122"/>
      <c r="J87" s="173"/>
      <c r="K87" s="181"/>
      <c r="L87" s="181"/>
      <c r="M87" s="181"/>
      <c r="N87" s="181"/>
      <c r="O87" s="181"/>
      <c r="P87" s="181"/>
      <c r="Q87" s="181"/>
      <c r="R87" s="181"/>
      <c r="S87" s="181"/>
      <c r="T87" s="181"/>
      <c r="U87" s="181"/>
      <c r="V87" s="181"/>
      <c r="W87" s="181"/>
      <c r="X87" s="181"/>
      <c r="Y87" s="181"/>
    </row>
    <row r="88" spans="1:25" ht="15.75" hidden="1" customHeight="1" x14ac:dyDescent="0.2">
      <c r="A88" s="181"/>
      <c r="B88" s="174"/>
      <c r="C88" s="175"/>
      <c r="D88" s="175"/>
      <c r="E88" s="175"/>
      <c r="F88" s="122"/>
      <c r="G88" s="122"/>
      <c r="H88" s="122"/>
      <c r="I88" s="122"/>
      <c r="J88" s="173"/>
      <c r="K88" s="181"/>
      <c r="L88" s="181"/>
      <c r="M88" s="181"/>
      <c r="N88" s="181"/>
      <c r="O88" s="181"/>
      <c r="P88" s="181"/>
      <c r="Q88" s="181"/>
      <c r="R88" s="181"/>
      <c r="S88" s="181"/>
      <c r="T88" s="181"/>
      <c r="U88" s="181"/>
      <c r="V88" s="181"/>
      <c r="W88" s="181"/>
      <c r="X88" s="181"/>
      <c r="Y88" s="181"/>
    </row>
    <row r="89" spans="1:25" ht="15.75" hidden="1" customHeight="1" x14ac:dyDescent="0.2">
      <c r="A89" s="181"/>
      <c r="B89" s="174"/>
      <c r="C89" s="175"/>
      <c r="D89" s="175"/>
      <c r="E89" s="175"/>
      <c r="F89" s="122"/>
      <c r="G89" s="122"/>
      <c r="H89" s="122"/>
      <c r="I89" s="122"/>
      <c r="J89" s="173"/>
      <c r="K89" s="181"/>
      <c r="L89" s="181"/>
      <c r="M89" s="181"/>
      <c r="N89" s="181"/>
      <c r="O89" s="181"/>
      <c r="P89" s="181"/>
      <c r="Q89" s="181"/>
      <c r="R89" s="181"/>
      <c r="S89" s="181"/>
      <c r="T89" s="181"/>
      <c r="U89" s="181"/>
      <c r="V89" s="181"/>
      <c r="W89" s="181"/>
      <c r="X89" s="181"/>
      <c r="Y89" s="181"/>
    </row>
    <row r="90" spans="1:25" ht="15.75" hidden="1" customHeight="1" x14ac:dyDescent="0.2">
      <c r="A90" s="181"/>
      <c r="B90" s="174"/>
      <c r="C90" s="175"/>
      <c r="D90" s="175"/>
      <c r="E90" s="175"/>
      <c r="F90" s="122"/>
      <c r="G90" s="122"/>
      <c r="H90" s="122"/>
      <c r="I90" s="122"/>
      <c r="J90" s="173"/>
      <c r="K90" s="181"/>
      <c r="L90" s="181"/>
      <c r="M90" s="181"/>
      <c r="N90" s="181"/>
      <c r="O90" s="181"/>
      <c r="P90" s="181"/>
      <c r="Q90" s="181"/>
      <c r="R90" s="181"/>
      <c r="S90" s="181"/>
      <c r="T90" s="181"/>
      <c r="U90" s="181"/>
      <c r="V90" s="181"/>
      <c r="W90" s="181"/>
      <c r="X90" s="181"/>
      <c r="Y90" s="181"/>
    </row>
    <row r="91" spans="1:25" ht="15.75" hidden="1" customHeight="1" x14ac:dyDescent="0.2">
      <c r="A91" s="181"/>
      <c r="B91" s="174"/>
      <c r="C91" s="175"/>
      <c r="D91" s="175"/>
      <c r="E91" s="175"/>
      <c r="F91" s="122"/>
      <c r="G91" s="122"/>
      <c r="H91" s="122"/>
      <c r="I91" s="122"/>
      <c r="J91" s="173"/>
      <c r="K91" s="181"/>
      <c r="L91" s="181"/>
      <c r="M91" s="181"/>
      <c r="N91" s="181"/>
      <c r="O91" s="181"/>
      <c r="P91" s="181"/>
      <c r="Q91" s="181"/>
      <c r="R91" s="181"/>
      <c r="S91" s="181"/>
      <c r="T91" s="181"/>
      <c r="U91" s="181"/>
      <c r="V91" s="181"/>
      <c r="W91" s="181"/>
      <c r="X91" s="181"/>
      <c r="Y91" s="181"/>
    </row>
    <row r="92" spans="1:25" ht="15.75" hidden="1" customHeight="1" x14ac:dyDescent="0.2">
      <c r="A92" s="181"/>
      <c r="B92" s="174"/>
      <c r="C92" s="175"/>
      <c r="D92" s="175"/>
      <c r="E92" s="175"/>
      <c r="F92" s="122"/>
      <c r="G92" s="122"/>
      <c r="H92" s="122"/>
      <c r="I92" s="122"/>
      <c r="J92" s="173"/>
      <c r="K92" s="181"/>
      <c r="L92" s="181"/>
      <c r="M92" s="181"/>
      <c r="N92" s="181"/>
      <c r="O92" s="181"/>
      <c r="P92" s="181"/>
      <c r="Q92" s="181"/>
      <c r="R92" s="181"/>
      <c r="S92" s="181"/>
      <c r="T92" s="181"/>
      <c r="U92" s="181"/>
      <c r="V92" s="181"/>
      <c r="W92" s="181"/>
      <c r="X92" s="181"/>
      <c r="Y92" s="181"/>
    </row>
    <row r="93" spans="1:25" ht="15.75" hidden="1" customHeight="1" x14ac:dyDescent="0.2">
      <c r="A93" s="181"/>
      <c r="B93" s="174"/>
      <c r="C93" s="175"/>
      <c r="D93" s="175"/>
      <c r="E93" s="175"/>
      <c r="F93" s="122"/>
      <c r="G93" s="122"/>
      <c r="H93" s="122"/>
      <c r="I93" s="122"/>
      <c r="J93" s="173"/>
      <c r="K93" s="181"/>
      <c r="L93" s="181"/>
      <c r="M93" s="181"/>
      <c r="N93" s="181"/>
      <c r="O93" s="181"/>
      <c r="P93" s="181"/>
      <c r="Q93" s="181"/>
      <c r="R93" s="181"/>
      <c r="S93" s="181"/>
      <c r="T93" s="181"/>
      <c r="U93" s="181"/>
      <c r="V93" s="181"/>
      <c r="W93" s="181"/>
      <c r="X93" s="181"/>
      <c r="Y93" s="181"/>
    </row>
    <row r="94" spans="1:25" ht="15.75" hidden="1" customHeight="1" x14ac:dyDescent="0.2">
      <c r="A94" s="181"/>
      <c r="B94" s="174"/>
      <c r="C94" s="175"/>
      <c r="D94" s="175"/>
      <c r="E94" s="175"/>
      <c r="F94" s="122"/>
      <c r="G94" s="122"/>
      <c r="H94" s="122"/>
      <c r="I94" s="122"/>
      <c r="J94" s="173"/>
      <c r="K94" s="181"/>
      <c r="L94" s="181"/>
      <c r="M94" s="181"/>
      <c r="N94" s="181"/>
      <c r="O94" s="181"/>
      <c r="P94" s="181"/>
      <c r="Q94" s="181"/>
      <c r="R94" s="181"/>
      <c r="S94" s="181"/>
      <c r="T94" s="181"/>
      <c r="U94" s="181"/>
      <c r="V94" s="181"/>
      <c r="W94" s="181"/>
      <c r="X94" s="181"/>
      <c r="Y94" s="181"/>
    </row>
    <row r="95" spans="1:25" ht="15.75" hidden="1" customHeight="1" x14ac:dyDescent="0.2">
      <c r="A95" s="181"/>
      <c r="B95" s="174"/>
      <c r="C95" s="175"/>
      <c r="D95" s="175"/>
      <c r="E95" s="175"/>
      <c r="F95" s="122"/>
      <c r="G95" s="122"/>
      <c r="H95" s="122"/>
      <c r="I95" s="122"/>
      <c r="J95" s="173"/>
      <c r="K95" s="181"/>
      <c r="L95" s="181"/>
      <c r="M95" s="181"/>
      <c r="N95" s="181"/>
      <c r="O95" s="181"/>
      <c r="P95" s="181"/>
      <c r="Q95" s="181"/>
      <c r="R95" s="181"/>
      <c r="S95" s="181"/>
      <c r="T95" s="181"/>
      <c r="U95" s="181"/>
      <c r="V95" s="181"/>
      <c r="W95" s="181"/>
      <c r="X95" s="181"/>
      <c r="Y95" s="181"/>
    </row>
    <row r="96" spans="1:25" ht="15.75" hidden="1" customHeight="1" x14ac:dyDescent="0.2">
      <c r="A96" s="181"/>
      <c r="B96" s="174"/>
      <c r="C96" s="175"/>
      <c r="D96" s="175"/>
      <c r="E96" s="175"/>
      <c r="F96" s="122"/>
      <c r="G96" s="122"/>
      <c r="H96" s="122"/>
      <c r="I96" s="122"/>
      <c r="J96" s="173"/>
      <c r="K96" s="181"/>
      <c r="L96" s="181"/>
      <c r="M96" s="181"/>
      <c r="N96" s="181"/>
      <c r="O96" s="181"/>
      <c r="P96" s="181"/>
      <c r="Q96" s="181"/>
      <c r="R96" s="181"/>
      <c r="S96" s="181"/>
      <c r="T96" s="181"/>
      <c r="U96" s="181"/>
      <c r="V96" s="181"/>
      <c r="W96" s="181"/>
      <c r="X96" s="181"/>
      <c r="Y96" s="181"/>
    </row>
    <row r="97" spans="1:25" ht="15.75" hidden="1" customHeight="1" x14ac:dyDescent="0.2">
      <c r="A97" s="181"/>
      <c r="B97" s="174"/>
      <c r="C97" s="175"/>
      <c r="D97" s="175"/>
      <c r="E97" s="175"/>
      <c r="F97" s="122"/>
      <c r="G97" s="122"/>
      <c r="H97" s="122"/>
      <c r="I97" s="122"/>
      <c r="J97" s="173"/>
      <c r="K97" s="181"/>
      <c r="L97" s="181"/>
      <c r="M97" s="181"/>
      <c r="N97" s="181"/>
      <c r="O97" s="181"/>
      <c r="P97" s="181"/>
      <c r="Q97" s="181"/>
      <c r="R97" s="181"/>
      <c r="S97" s="181"/>
      <c r="T97" s="181"/>
      <c r="U97" s="181"/>
      <c r="V97" s="181"/>
      <c r="W97" s="181"/>
      <c r="X97" s="181"/>
      <c r="Y97" s="181"/>
    </row>
    <row r="98" spans="1:25" ht="15.75" hidden="1" customHeight="1" x14ac:dyDescent="0.2">
      <c r="A98" s="181"/>
      <c r="B98" s="174"/>
      <c r="C98" s="175"/>
      <c r="D98" s="175"/>
      <c r="E98" s="175"/>
      <c r="F98" s="122"/>
      <c r="G98" s="122"/>
      <c r="H98" s="122"/>
      <c r="I98" s="122"/>
      <c r="J98" s="173"/>
      <c r="K98" s="181"/>
      <c r="L98" s="181"/>
      <c r="M98" s="181"/>
      <c r="N98" s="181"/>
      <c r="O98" s="181"/>
      <c r="P98" s="181"/>
      <c r="Q98" s="181"/>
      <c r="R98" s="181"/>
      <c r="S98" s="181"/>
      <c r="T98" s="181"/>
      <c r="U98" s="181"/>
      <c r="V98" s="181"/>
      <c r="W98" s="181"/>
      <c r="X98" s="181"/>
      <c r="Y98" s="181"/>
    </row>
    <row r="99" spans="1:25" ht="15.75" hidden="1" customHeight="1" x14ac:dyDescent="0.2">
      <c r="A99" s="181"/>
      <c r="B99" s="174"/>
      <c r="C99" s="175"/>
      <c r="D99" s="175"/>
      <c r="E99" s="175"/>
      <c r="F99" s="122"/>
      <c r="G99" s="122"/>
      <c r="H99" s="122"/>
      <c r="I99" s="122"/>
      <c r="J99" s="173"/>
      <c r="K99" s="181"/>
      <c r="L99" s="181"/>
      <c r="M99" s="181"/>
      <c r="N99" s="181"/>
      <c r="O99" s="181"/>
      <c r="P99" s="181"/>
      <c r="Q99" s="181"/>
      <c r="R99" s="181"/>
      <c r="S99" s="181"/>
      <c r="T99" s="181"/>
      <c r="U99" s="181"/>
      <c r="V99" s="181"/>
      <c r="W99" s="181"/>
      <c r="X99" s="181"/>
      <c r="Y99" s="181"/>
    </row>
    <row r="100" spans="1:25" ht="15.75" hidden="1" customHeight="1" x14ac:dyDescent="0.2">
      <c r="A100" s="181"/>
      <c r="B100" s="174"/>
      <c r="C100" s="175"/>
      <c r="D100" s="175"/>
      <c r="E100" s="175"/>
      <c r="F100" s="122"/>
      <c r="G100" s="122"/>
      <c r="H100" s="122"/>
      <c r="I100" s="122"/>
      <c r="J100" s="173"/>
      <c r="K100" s="181"/>
      <c r="L100" s="181"/>
      <c r="M100" s="181"/>
      <c r="N100" s="181"/>
      <c r="O100" s="181"/>
      <c r="P100" s="181"/>
      <c r="Q100" s="181"/>
      <c r="R100" s="181"/>
      <c r="S100" s="181"/>
      <c r="T100" s="181"/>
      <c r="U100" s="181"/>
      <c r="V100" s="181"/>
      <c r="W100" s="181"/>
      <c r="X100" s="181"/>
      <c r="Y100" s="181"/>
    </row>
    <row r="101" spans="1:25" ht="15.75" hidden="1" customHeight="1" x14ac:dyDescent="0.2">
      <c r="A101" s="181"/>
      <c r="B101" s="174"/>
      <c r="C101" s="175"/>
      <c r="D101" s="175"/>
      <c r="E101" s="175"/>
      <c r="F101" s="122"/>
      <c r="G101" s="122"/>
      <c r="H101" s="122"/>
      <c r="I101" s="122"/>
      <c r="J101" s="173"/>
      <c r="K101" s="181"/>
      <c r="L101" s="181"/>
      <c r="M101" s="181"/>
      <c r="N101" s="181"/>
      <c r="O101" s="181"/>
      <c r="P101" s="181"/>
      <c r="Q101" s="181"/>
      <c r="R101" s="181"/>
      <c r="S101" s="181"/>
      <c r="T101" s="181"/>
      <c r="U101" s="181"/>
      <c r="V101" s="181"/>
      <c r="W101" s="181"/>
      <c r="X101" s="181"/>
      <c r="Y101" s="181"/>
    </row>
    <row r="102" spans="1:25" ht="15.75" hidden="1" customHeight="1" x14ac:dyDescent="0.2">
      <c r="A102" s="181"/>
      <c r="B102" s="174"/>
      <c r="C102" s="175"/>
      <c r="D102" s="175"/>
      <c r="E102" s="175"/>
      <c r="F102" s="122"/>
      <c r="G102" s="122"/>
      <c r="H102" s="122"/>
      <c r="I102" s="122"/>
      <c r="J102" s="173"/>
      <c r="K102" s="181"/>
      <c r="L102" s="181"/>
      <c r="M102" s="181"/>
      <c r="N102" s="181"/>
      <c r="O102" s="181"/>
      <c r="P102" s="181"/>
      <c r="Q102" s="181"/>
      <c r="R102" s="181"/>
      <c r="S102" s="181"/>
      <c r="T102" s="181"/>
      <c r="U102" s="181"/>
      <c r="V102" s="181"/>
      <c r="W102" s="181"/>
      <c r="X102" s="181"/>
      <c r="Y102" s="181"/>
    </row>
    <row r="103" spans="1:25" ht="15.75" hidden="1" customHeight="1" x14ac:dyDescent="0.2">
      <c r="A103" s="181"/>
      <c r="B103" s="174"/>
      <c r="C103" s="175"/>
      <c r="D103" s="175"/>
      <c r="E103" s="175"/>
      <c r="F103" s="122"/>
      <c r="G103" s="122"/>
      <c r="H103" s="122"/>
      <c r="I103" s="122"/>
      <c r="J103" s="173"/>
      <c r="K103" s="181"/>
      <c r="L103" s="181"/>
      <c r="M103" s="181"/>
      <c r="N103" s="181"/>
      <c r="O103" s="181"/>
      <c r="P103" s="181"/>
      <c r="Q103" s="181"/>
      <c r="R103" s="181"/>
      <c r="S103" s="181"/>
      <c r="T103" s="181"/>
      <c r="U103" s="181"/>
      <c r="V103" s="181"/>
      <c r="W103" s="181"/>
      <c r="X103" s="181"/>
      <c r="Y103" s="181"/>
    </row>
    <row r="104" spans="1:25" ht="15.75" hidden="1" customHeight="1" x14ac:dyDescent="0.2">
      <c r="A104" s="181"/>
      <c r="B104" s="174"/>
      <c r="C104" s="175"/>
      <c r="D104" s="175"/>
      <c r="E104" s="175"/>
      <c r="F104" s="122"/>
      <c r="G104" s="122"/>
      <c r="H104" s="122"/>
      <c r="I104" s="122"/>
      <c r="J104" s="173"/>
      <c r="K104" s="181"/>
      <c r="L104" s="181"/>
      <c r="M104" s="181"/>
      <c r="N104" s="181"/>
      <c r="O104" s="181"/>
      <c r="P104" s="181"/>
      <c r="Q104" s="181"/>
      <c r="R104" s="181"/>
      <c r="S104" s="181"/>
      <c r="T104" s="181"/>
      <c r="U104" s="181"/>
      <c r="V104" s="181"/>
      <c r="W104" s="181"/>
      <c r="X104" s="181"/>
      <c r="Y104" s="181"/>
    </row>
    <row r="105" spans="1:25" ht="15.75" hidden="1" customHeight="1" x14ac:dyDescent="0.2">
      <c r="A105" s="181"/>
      <c r="B105" s="174"/>
      <c r="C105" s="175"/>
      <c r="D105" s="175"/>
      <c r="E105" s="175"/>
      <c r="F105" s="122"/>
      <c r="G105" s="122"/>
      <c r="H105" s="122"/>
      <c r="I105" s="122"/>
      <c r="J105" s="173"/>
      <c r="K105" s="181"/>
      <c r="L105" s="181"/>
      <c r="M105" s="181"/>
      <c r="N105" s="181"/>
      <c r="O105" s="181"/>
      <c r="P105" s="181"/>
      <c r="Q105" s="181"/>
      <c r="R105" s="181"/>
      <c r="S105" s="181"/>
      <c r="T105" s="181"/>
      <c r="U105" s="181"/>
      <c r="V105" s="181"/>
      <c r="W105" s="181"/>
      <c r="X105" s="181"/>
      <c r="Y105" s="181"/>
    </row>
    <row r="106" spans="1:25" ht="15.75" hidden="1" customHeight="1" x14ac:dyDescent="0.2">
      <c r="A106" s="181"/>
      <c r="B106" s="174"/>
      <c r="C106" s="175"/>
      <c r="D106" s="175"/>
      <c r="E106" s="175"/>
      <c r="F106" s="122"/>
      <c r="G106" s="122"/>
      <c r="H106" s="122"/>
      <c r="I106" s="122"/>
      <c r="J106" s="173"/>
      <c r="K106" s="181"/>
      <c r="L106" s="181"/>
      <c r="M106" s="181"/>
      <c r="N106" s="181"/>
      <c r="O106" s="181"/>
      <c r="P106" s="181"/>
      <c r="Q106" s="181"/>
      <c r="R106" s="181"/>
      <c r="S106" s="181"/>
      <c r="T106" s="181"/>
      <c r="U106" s="181"/>
      <c r="V106" s="181"/>
      <c r="W106" s="181"/>
      <c r="X106" s="181"/>
      <c r="Y106" s="181"/>
    </row>
    <row r="107" spans="1:25" ht="15.75" hidden="1" customHeight="1" x14ac:dyDescent="0.2">
      <c r="A107" s="181"/>
      <c r="B107" s="174"/>
      <c r="C107" s="175"/>
      <c r="D107" s="175"/>
      <c r="E107" s="175"/>
      <c r="F107" s="122"/>
      <c r="G107" s="122"/>
      <c r="H107" s="122"/>
      <c r="I107" s="122"/>
      <c r="J107" s="173"/>
      <c r="K107" s="181"/>
      <c r="L107" s="181"/>
      <c r="M107" s="181"/>
      <c r="N107" s="181"/>
      <c r="O107" s="181"/>
      <c r="P107" s="181"/>
      <c r="Q107" s="181"/>
      <c r="R107" s="181"/>
      <c r="S107" s="181"/>
      <c r="T107" s="181"/>
      <c r="U107" s="181"/>
      <c r="V107" s="181"/>
      <c r="W107" s="181"/>
      <c r="X107" s="181"/>
      <c r="Y107" s="181"/>
    </row>
    <row r="108" spans="1:25" ht="15.75" hidden="1" customHeight="1" x14ac:dyDescent="0.2">
      <c r="A108" s="181"/>
      <c r="B108" s="174"/>
      <c r="C108" s="175"/>
      <c r="D108" s="175"/>
      <c r="E108" s="175"/>
      <c r="F108" s="122"/>
      <c r="G108" s="122"/>
      <c r="H108" s="122"/>
      <c r="I108" s="122"/>
      <c r="J108" s="173"/>
      <c r="K108" s="181"/>
      <c r="L108" s="181"/>
      <c r="M108" s="181"/>
      <c r="N108" s="181"/>
      <c r="O108" s="181"/>
      <c r="P108" s="181"/>
      <c r="Q108" s="181"/>
      <c r="R108" s="181"/>
      <c r="S108" s="181"/>
      <c r="T108" s="181"/>
      <c r="U108" s="181"/>
      <c r="V108" s="181"/>
      <c r="W108" s="181"/>
      <c r="X108" s="181"/>
      <c r="Y108" s="181"/>
    </row>
    <row r="109" spans="1:25" ht="15.75" hidden="1" customHeight="1" x14ac:dyDescent="0.2">
      <c r="A109" s="181"/>
      <c r="B109" s="174"/>
      <c r="C109" s="175"/>
      <c r="D109" s="175"/>
      <c r="E109" s="175"/>
      <c r="F109" s="122"/>
      <c r="G109" s="122"/>
      <c r="H109" s="122"/>
      <c r="I109" s="122"/>
      <c r="J109" s="173"/>
      <c r="K109" s="181"/>
      <c r="L109" s="181"/>
      <c r="M109" s="181"/>
      <c r="N109" s="181"/>
      <c r="O109" s="181"/>
      <c r="P109" s="181"/>
      <c r="Q109" s="181"/>
      <c r="R109" s="181"/>
      <c r="S109" s="181"/>
      <c r="T109" s="181"/>
      <c r="U109" s="181"/>
      <c r="V109" s="181"/>
      <c r="W109" s="181"/>
      <c r="X109" s="181"/>
      <c r="Y109" s="181"/>
    </row>
    <row r="110" spans="1:25" ht="15.75" hidden="1" customHeight="1" x14ac:dyDescent="0.2">
      <c r="A110" s="181"/>
      <c r="B110" s="174"/>
      <c r="C110" s="175"/>
      <c r="D110" s="175"/>
      <c r="E110" s="175"/>
      <c r="F110" s="122"/>
      <c r="G110" s="122"/>
      <c r="H110" s="122"/>
      <c r="I110" s="122"/>
      <c r="J110" s="173"/>
      <c r="K110" s="181"/>
      <c r="L110" s="181"/>
      <c r="M110" s="181"/>
      <c r="N110" s="181"/>
      <c r="O110" s="181"/>
      <c r="P110" s="181"/>
      <c r="Q110" s="181"/>
      <c r="R110" s="181"/>
      <c r="S110" s="181"/>
      <c r="T110" s="181"/>
      <c r="U110" s="181"/>
      <c r="V110" s="181"/>
      <c r="W110" s="181"/>
      <c r="X110" s="181"/>
      <c r="Y110" s="181"/>
    </row>
    <row r="111" spans="1:25" ht="15.75" hidden="1" customHeight="1" x14ac:dyDescent="0.2">
      <c r="A111" s="181"/>
      <c r="B111" s="174"/>
      <c r="C111" s="175"/>
      <c r="D111" s="175"/>
      <c r="E111" s="175"/>
      <c r="F111" s="122"/>
      <c r="G111" s="122"/>
      <c r="H111" s="122"/>
      <c r="I111" s="122"/>
      <c r="J111" s="173"/>
      <c r="K111" s="181"/>
      <c r="L111" s="181"/>
      <c r="M111" s="181"/>
      <c r="N111" s="181"/>
      <c r="O111" s="181"/>
      <c r="P111" s="181"/>
      <c r="Q111" s="181"/>
      <c r="R111" s="181"/>
      <c r="S111" s="181"/>
      <c r="T111" s="181"/>
      <c r="U111" s="181"/>
      <c r="V111" s="181"/>
      <c r="W111" s="181"/>
      <c r="X111" s="181"/>
      <c r="Y111" s="181"/>
    </row>
    <row r="112" spans="1:25" ht="15.75" hidden="1" customHeight="1" x14ac:dyDescent="0.2">
      <c r="A112" s="181"/>
      <c r="B112" s="174"/>
      <c r="C112" s="175"/>
      <c r="D112" s="175"/>
      <c r="E112" s="175"/>
      <c r="F112" s="122"/>
      <c r="G112" s="122"/>
      <c r="H112" s="122"/>
      <c r="I112" s="122"/>
      <c r="J112" s="173"/>
      <c r="K112" s="181"/>
      <c r="L112" s="181"/>
      <c r="M112" s="181"/>
      <c r="N112" s="181"/>
      <c r="O112" s="181"/>
      <c r="P112" s="181"/>
      <c r="Q112" s="181"/>
      <c r="R112" s="181"/>
      <c r="S112" s="181"/>
      <c r="T112" s="181"/>
      <c r="U112" s="181"/>
      <c r="V112" s="181"/>
      <c r="W112" s="181"/>
      <c r="X112" s="181"/>
      <c r="Y112" s="181"/>
    </row>
    <row r="113" spans="1:25" ht="15.75" hidden="1" customHeight="1" x14ac:dyDescent="0.2">
      <c r="A113" s="181"/>
      <c r="B113" s="174"/>
      <c r="C113" s="175"/>
      <c r="D113" s="175"/>
      <c r="E113" s="175"/>
      <c r="F113" s="122"/>
      <c r="G113" s="122"/>
      <c r="H113" s="122"/>
      <c r="I113" s="122"/>
      <c r="J113" s="173"/>
      <c r="K113" s="181"/>
      <c r="L113" s="181"/>
      <c r="M113" s="181"/>
      <c r="N113" s="181"/>
      <c r="O113" s="181"/>
      <c r="P113" s="181"/>
      <c r="Q113" s="181"/>
      <c r="R113" s="181"/>
      <c r="S113" s="181"/>
      <c r="T113" s="181"/>
      <c r="U113" s="181"/>
      <c r="V113" s="181"/>
      <c r="W113" s="181"/>
      <c r="X113" s="181"/>
      <c r="Y113" s="181"/>
    </row>
    <row r="114" spans="1:25" ht="15.75" hidden="1" customHeight="1" x14ac:dyDescent="0.2">
      <c r="A114" s="181"/>
      <c r="B114" s="174"/>
      <c r="C114" s="175"/>
      <c r="D114" s="175"/>
      <c r="E114" s="175"/>
      <c r="F114" s="122"/>
      <c r="G114" s="122"/>
      <c r="H114" s="122"/>
      <c r="I114" s="122"/>
      <c r="J114" s="173"/>
      <c r="K114" s="181"/>
      <c r="L114" s="181"/>
      <c r="M114" s="181"/>
      <c r="N114" s="181"/>
      <c r="O114" s="181"/>
      <c r="P114" s="181"/>
      <c r="Q114" s="181"/>
      <c r="R114" s="181"/>
      <c r="S114" s="181"/>
      <c r="T114" s="181"/>
      <c r="U114" s="181"/>
      <c r="V114" s="181"/>
      <c r="W114" s="181"/>
      <c r="X114" s="181"/>
      <c r="Y114" s="181"/>
    </row>
    <row r="115" spans="1:25" ht="15.75" hidden="1" customHeight="1" x14ac:dyDescent="0.2">
      <c r="A115" s="181"/>
      <c r="B115" s="174"/>
      <c r="C115" s="175"/>
      <c r="D115" s="175"/>
      <c r="E115" s="175"/>
      <c r="F115" s="122"/>
      <c r="G115" s="122"/>
      <c r="H115" s="122"/>
      <c r="I115" s="122"/>
      <c r="J115" s="173"/>
      <c r="K115" s="181"/>
      <c r="L115" s="181"/>
      <c r="M115" s="181"/>
      <c r="N115" s="181"/>
      <c r="O115" s="181"/>
      <c r="P115" s="181"/>
      <c r="Q115" s="181"/>
      <c r="R115" s="181"/>
      <c r="S115" s="181"/>
      <c r="T115" s="181"/>
      <c r="U115" s="181"/>
      <c r="V115" s="181"/>
      <c r="W115" s="181"/>
      <c r="X115" s="181"/>
      <c r="Y115" s="181"/>
    </row>
    <row r="116" spans="1:25" ht="15.75" hidden="1" customHeight="1" x14ac:dyDescent="0.2">
      <c r="A116" s="181"/>
      <c r="B116" s="174"/>
      <c r="C116" s="175"/>
      <c r="D116" s="175"/>
      <c r="E116" s="175"/>
      <c r="F116" s="122"/>
      <c r="G116" s="122"/>
      <c r="H116" s="122"/>
      <c r="I116" s="122"/>
      <c r="J116" s="173"/>
      <c r="K116" s="181"/>
      <c r="L116" s="181"/>
      <c r="M116" s="181"/>
      <c r="N116" s="181"/>
      <c r="O116" s="181"/>
      <c r="P116" s="181"/>
      <c r="Q116" s="181"/>
      <c r="R116" s="181"/>
      <c r="S116" s="181"/>
      <c r="T116" s="181"/>
      <c r="U116" s="181"/>
      <c r="V116" s="181"/>
      <c r="W116" s="181"/>
      <c r="X116" s="181"/>
      <c r="Y116" s="181"/>
    </row>
    <row r="117" spans="1:25" ht="15.75" hidden="1" customHeight="1" x14ac:dyDescent="0.2">
      <c r="A117" s="181"/>
      <c r="B117" s="174"/>
      <c r="C117" s="175"/>
      <c r="D117" s="175"/>
      <c r="E117" s="175"/>
      <c r="F117" s="122"/>
      <c r="G117" s="122"/>
      <c r="H117" s="122"/>
      <c r="I117" s="122"/>
      <c r="J117" s="173"/>
      <c r="K117" s="181"/>
      <c r="L117" s="181"/>
      <c r="M117" s="181"/>
      <c r="N117" s="181"/>
      <c r="O117" s="181"/>
      <c r="P117" s="181"/>
      <c r="Q117" s="181"/>
      <c r="R117" s="181"/>
      <c r="S117" s="181"/>
      <c r="T117" s="181"/>
      <c r="U117" s="181"/>
      <c r="V117" s="181"/>
      <c r="W117" s="181"/>
      <c r="X117" s="181"/>
      <c r="Y117" s="181"/>
    </row>
    <row r="118" spans="1:25" ht="15.75" hidden="1" customHeight="1" x14ac:dyDescent="0.2">
      <c r="A118" s="181"/>
      <c r="B118" s="174"/>
      <c r="C118" s="175"/>
      <c r="D118" s="175"/>
      <c r="E118" s="175"/>
      <c r="F118" s="122"/>
      <c r="G118" s="122"/>
      <c r="H118" s="122"/>
      <c r="I118" s="122"/>
      <c r="J118" s="173"/>
      <c r="K118" s="181"/>
      <c r="L118" s="181"/>
      <c r="M118" s="181"/>
      <c r="N118" s="181"/>
      <c r="O118" s="181"/>
      <c r="P118" s="181"/>
      <c r="Q118" s="181"/>
      <c r="R118" s="181"/>
      <c r="S118" s="181"/>
      <c r="T118" s="181"/>
      <c r="U118" s="181"/>
      <c r="V118" s="181"/>
      <c r="W118" s="181"/>
      <c r="X118" s="181"/>
      <c r="Y118" s="181"/>
    </row>
    <row r="119" spans="1:25" ht="15.75" hidden="1" customHeight="1" x14ac:dyDescent="0.2">
      <c r="A119" s="181"/>
      <c r="B119" s="174"/>
      <c r="C119" s="175"/>
      <c r="D119" s="175"/>
      <c r="E119" s="175"/>
      <c r="F119" s="122"/>
      <c r="G119" s="122"/>
      <c r="H119" s="122"/>
      <c r="I119" s="122"/>
      <c r="J119" s="173"/>
      <c r="K119" s="181"/>
      <c r="L119" s="181"/>
      <c r="M119" s="181"/>
      <c r="N119" s="181"/>
      <c r="O119" s="181"/>
      <c r="P119" s="181"/>
      <c r="Q119" s="181"/>
      <c r="R119" s="181"/>
      <c r="S119" s="181"/>
      <c r="T119" s="181"/>
      <c r="U119" s="181"/>
      <c r="V119" s="181"/>
      <c r="W119" s="181"/>
      <c r="X119" s="181"/>
      <c r="Y119" s="181"/>
    </row>
    <row r="120" spans="1:25" ht="15.75" hidden="1" customHeight="1" x14ac:dyDescent="0.2">
      <c r="A120" s="181"/>
      <c r="B120" s="174"/>
      <c r="C120" s="175"/>
      <c r="D120" s="175"/>
      <c r="E120" s="175"/>
      <c r="F120" s="122"/>
      <c r="G120" s="122"/>
      <c r="H120" s="122"/>
      <c r="I120" s="122"/>
      <c r="J120" s="173"/>
      <c r="K120" s="181"/>
      <c r="L120" s="181"/>
      <c r="M120" s="181"/>
      <c r="N120" s="181"/>
      <c r="O120" s="181"/>
      <c r="P120" s="181"/>
      <c r="Q120" s="181"/>
      <c r="R120" s="181"/>
      <c r="S120" s="181"/>
      <c r="T120" s="181"/>
      <c r="U120" s="181"/>
      <c r="V120" s="181"/>
      <c r="W120" s="181"/>
      <c r="X120" s="181"/>
      <c r="Y120" s="181"/>
    </row>
    <row r="121" spans="1:25" ht="15.75" hidden="1" customHeight="1" x14ac:dyDescent="0.2">
      <c r="A121" s="181"/>
      <c r="B121" s="174"/>
      <c r="C121" s="175"/>
      <c r="D121" s="175"/>
      <c r="E121" s="175"/>
      <c r="F121" s="122"/>
      <c r="G121" s="122"/>
      <c r="H121" s="122"/>
      <c r="I121" s="122"/>
      <c r="J121" s="173"/>
      <c r="K121" s="181"/>
      <c r="L121" s="181"/>
      <c r="M121" s="181"/>
      <c r="N121" s="181"/>
      <c r="O121" s="181"/>
      <c r="P121" s="181"/>
      <c r="Q121" s="181"/>
      <c r="R121" s="181"/>
      <c r="S121" s="181"/>
      <c r="T121" s="181"/>
      <c r="U121" s="181"/>
      <c r="V121" s="181"/>
      <c r="W121" s="181"/>
      <c r="X121" s="181"/>
      <c r="Y121" s="181"/>
    </row>
    <row r="122" spans="1:25" ht="15.75" hidden="1" customHeight="1" x14ac:dyDescent="0.2">
      <c r="A122" s="181"/>
      <c r="B122" s="174"/>
      <c r="C122" s="175"/>
      <c r="D122" s="175"/>
      <c r="E122" s="175"/>
      <c r="F122" s="122"/>
      <c r="G122" s="122"/>
      <c r="H122" s="122"/>
      <c r="I122" s="122"/>
      <c r="J122" s="173"/>
      <c r="K122" s="181"/>
      <c r="L122" s="181"/>
      <c r="M122" s="181"/>
      <c r="N122" s="181"/>
      <c r="O122" s="181"/>
      <c r="P122" s="181"/>
      <c r="Q122" s="181"/>
      <c r="R122" s="181"/>
      <c r="S122" s="181"/>
      <c r="T122" s="181"/>
      <c r="U122" s="181"/>
      <c r="V122" s="181"/>
      <c r="W122" s="181"/>
      <c r="X122" s="181"/>
      <c r="Y122" s="181"/>
    </row>
    <row r="123" spans="1:25" ht="15.75" hidden="1" customHeight="1" x14ac:dyDescent="0.2">
      <c r="A123" s="181"/>
      <c r="B123" s="174"/>
      <c r="C123" s="175"/>
      <c r="D123" s="175"/>
      <c r="E123" s="175"/>
      <c r="F123" s="122"/>
      <c r="G123" s="122"/>
      <c r="H123" s="122"/>
      <c r="I123" s="122"/>
      <c r="J123" s="173"/>
      <c r="K123" s="181"/>
      <c r="L123" s="181"/>
      <c r="M123" s="181"/>
      <c r="N123" s="181"/>
      <c r="O123" s="181"/>
      <c r="P123" s="181"/>
      <c r="Q123" s="181"/>
      <c r="R123" s="181"/>
      <c r="S123" s="181"/>
      <c r="T123" s="181"/>
      <c r="U123" s="181"/>
      <c r="V123" s="181"/>
      <c r="W123" s="181"/>
      <c r="X123" s="181"/>
      <c r="Y123" s="181"/>
    </row>
    <row r="124" spans="1:25" ht="15.75" hidden="1" customHeight="1" x14ac:dyDescent="0.2">
      <c r="A124" s="181"/>
      <c r="B124" s="174"/>
      <c r="C124" s="175"/>
      <c r="D124" s="175"/>
      <c r="E124" s="175"/>
      <c r="F124" s="122"/>
      <c r="G124" s="122"/>
      <c r="H124" s="122"/>
      <c r="I124" s="122"/>
      <c r="J124" s="173"/>
      <c r="K124" s="181"/>
      <c r="L124" s="181"/>
      <c r="M124" s="181"/>
      <c r="N124" s="181"/>
      <c r="O124" s="181"/>
      <c r="P124" s="181"/>
      <c r="Q124" s="181"/>
      <c r="R124" s="181"/>
      <c r="S124" s="181"/>
      <c r="T124" s="181"/>
      <c r="U124" s="181"/>
      <c r="V124" s="181"/>
      <c r="W124" s="181"/>
      <c r="X124" s="181"/>
      <c r="Y124" s="181"/>
    </row>
    <row r="125" spans="1:25" ht="15.75" hidden="1" customHeight="1" x14ac:dyDescent="0.2">
      <c r="A125" s="181"/>
      <c r="B125" s="174"/>
      <c r="C125" s="175"/>
      <c r="D125" s="175"/>
      <c r="E125" s="175"/>
      <c r="F125" s="122"/>
      <c r="G125" s="122"/>
      <c r="H125" s="122"/>
      <c r="I125" s="122"/>
      <c r="J125" s="173"/>
      <c r="K125" s="181"/>
      <c r="L125" s="181"/>
      <c r="M125" s="181"/>
      <c r="N125" s="181"/>
      <c r="O125" s="181"/>
      <c r="P125" s="181"/>
      <c r="Q125" s="181"/>
      <c r="R125" s="181"/>
      <c r="S125" s="181"/>
      <c r="T125" s="181"/>
      <c r="U125" s="181"/>
      <c r="V125" s="181"/>
      <c r="W125" s="181"/>
      <c r="X125" s="181"/>
      <c r="Y125" s="181"/>
    </row>
    <row r="126" spans="1:25" ht="15.75" hidden="1" customHeight="1" x14ac:dyDescent="0.2">
      <c r="A126" s="181"/>
      <c r="B126" s="174"/>
      <c r="C126" s="175"/>
      <c r="D126" s="175"/>
      <c r="E126" s="175"/>
      <c r="F126" s="122"/>
      <c r="G126" s="122"/>
      <c r="H126" s="122"/>
      <c r="I126" s="122"/>
      <c r="J126" s="173"/>
      <c r="K126" s="181"/>
      <c r="L126" s="181"/>
      <c r="M126" s="181"/>
      <c r="N126" s="181"/>
      <c r="O126" s="181"/>
      <c r="P126" s="181"/>
      <c r="Q126" s="181"/>
      <c r="R126" s="181"/>
      <c r="S126" s="181"/>
      <c r="T126" s="181"/>
      <c r="U126" s="181"/>
      <c r="V126" s="181"/>
      <c r="W126" s="181"/>
      <c r="X126" s="181"/>
      <c r="Y126" s="181"/>
    </row>
    <row r="127" spans="1:25" ht="15.75" hidden="1" customHeight="1" x14ac:dyDescent="0.2">
      <c r="A127" s="181"/>
      <c r="B127" s="174"/>
      <c r="C127" s="175"/>
      <c r="D127" s="175"/>
      <c r="E127" s="175"/>
      <c r="F127" s="122"/>
      <c r="G127" s="122"/>
      <c r="H127" s="122"/>
      <c r="I127" s="122"/>
      <c r="J127" s="173"/>
      <c r="K127" s="181"/>
      <c r="L127" s="181"/>
      <c r="M127" s="181"/>
      <c r="N127" s="181"/>
      <c r="O127" s="181"/>
      <c r="P127" s="181"/>
      <c r="Q127" s="181"/>
      <c r="R127" s="181"/>
      <c r="S127" s="181"/>
      <c r="T127" s="181"/>
      <c r="U127" s="181"/>
      <c r="V127" s="181"/>
      <c r="W127" s="181"/>
      <c r="X127" s="181"/>
      <c r="Y127" s="181"/>
    </row>
    <row r="128" spans="1:25" ht="15.75" hidden="1" customHeight="1" x14ac:dyDescent="0.2">
      <c r="A128" s="181"/>
      <c r="B128" s="174"/>
      <c r="C128" s="175"/>
      <c r="D128" s="175"/>
      <c r="E128" s="175"/>
      <c r="F128" s="122"/>
      <c r="G128" s="122"/>
      <c r="H128" s="122"/>
      <c r="I128" s="122"/>
      <c r="J128" s="173"/>
      <c r="K128" s="181"/>
      <c r="L128" s="181"/>
      <c r="M128" s="181"/>
      <c r="N128" s="181"/>
      <c r="O128" s="181"/>
      <c r="P128" s="181"/>
      <c r="Q128" s="181"/>
      <c r="R128" s="181"/>
      <c r="S128" s="181"/>
      <c r="T128" s="181"/>
      <c r="U128" s="181"/>
      <c r="V128" s="181"/>
      <c r="W128" s="181"/>
      <c r="X128" s="181"/>
      <c r="Y128" s="181"/>
    </row>
    <row r="129" spans="1:25" ht="15.75" hidden="1" customHeight="1" x14ac:dyDescent="0.2">
      <c r="A129" s="181"/>
      <c r="B129" s="174"/>
      <c r="C129" s="175"/>
      <c r="D129" s="175"/>
      <c r="E129" s="175"/>
      <c r="F129" s="122"/>
      <c r="G129" s="122"/>
      <c r="H129" s="122"/>
      <c r="I129" s="122"/>
      <c r="J129" s="173"/>
      <c r="K129" s="181"/>
      <c r="L129" s="181"/>
      <c r="M129" s="181"/>
      <c r="N129" s="181"/>
      <c r="O129" s="181"/>
      <c r="P129" s="181"/>
      <c r="Q129" s="181"/>
      <c r="R129" s="181"/>
      <c r="S129" s="181"/>
      <c r="T129" s="181"/>
      <c r="U129" s="181"/>
      <c r="V129" s="181"/>
      <c r="W129" s="181"/>
      <c r="X129" s="181"/>
      <c r="Y129" s="181"/>
    </row>
    <row r="130" spans="1:25" ht="15.75" hidden="1" customHeight="1" x14ac:dyDescent="0.2">
      <c r="A130" s="181"/>
      <c r="B130" s="174"/>
      <c r="C130" s="175"/>
      <c r="D130" s="175"/>
      <c r="E130" s="175"/>
      <c r="F130" s="122"/>
      <c r="G130" s="122"/>
      <c r="H130" s="122"/>
      <c r="I130" s="122"/>
      <c r="J130" s="173"/>
      <c r="K130" s="181"/>
      <c r="L130" s="181"/>
      <c r="M130" s="181"/>
      <c r="N130" s="181"/>
      <c r="O130" s="181"/>
      <c r="P130" s="181"/>
      <c r="Q130" s="181"/>
      <c r="R130" s="181"/>
      <c r="S130" s="181"/>
      <c r="T130" s="181"/>
      <c r="U130" s="181"/>
      <c r="V130" s="181"/>
      <c r="W130" s="181"/>
      <c r="X130" s="181"/>
      <c r="Y130" s="181"/>
    </row>
    <row r="131" spans="1:25" ht="15.75" hidden="1" customHeight="1" x14ac:dyDescent="0.2">
      <c r="A131" s="181"/>
      <c r="B131" s="174"/>
      <c r="C131" s="175"/>
      <c r="D131" s="175"/>
      <c r="E131" s="175"/>
      <c r="F131" s="122"/>
      <c r="G131" s="122"/>
      <c r="H131" s="122"/>
      <c r="I131" s="122"/>
      <c r="J131" s="173"/>
      <c r="K131" s="181"/>
      <c r="L131" s="181"/>
      <c r="M131" s="181"/>
      <c r="N131" s="181"/>
      <c r="O131" s="181"/>
      <c r="P131" s="181"/>
      <c r="Q131" s="181"/>
      <c r="R131" s="181"/>
      <c r="S131" s="181"/>
      <c r="T131" s="181"/>
      <c r="U131" s="181"/>
      <c r="V131" s="181"/>
      <c r="W131" s="181"/>
      <c r="X131" s="181"/>
      <c r="Y131" s="181"/>
    </row>
    <row r="132" spans="1:25" ht="15.75" hidden="1" customHeight="1" x14ac:dyDescent="0.2">
      <c r="A132" s="181"/>
      <c r="B132" s="174"/>
      <c r="C132" s="175"/>
      <c r="D132" s="175"/>
      <c r="E132" s="175"/>
      <c r="F132" s="122"/>
      <c r="G132" s="122"/>
      <c r="H132" s="122"/>
      <c r="I132" s="122"/>
      <c r="J132" s="173"/>
      <c r="K132" s="181"/>
      <c r="L132" s="181"/>
      <c r="M132" s="181"/>
      <c r="N132" s="181"/>
      <c r="O132" s="181"/>
      <c r="P132" s="181"/>
      <c r="Q132" s="181"/>
      <c r="R132" s="181"/>
      <c r="S132" s="181"/>
      <c r="T132" s="181"/>
      <c r="U132" s="181"/>
      <c r="V132" s="181"/>
      <c r="W132" s="181"/>
      <c r="X132" s="181"/>
      <c r="Y132" s="181"/>
    </row>
    <row r="133" spans="1:25" ht="15.75" hidden="1" customHeight="1" x14ac:dyDescent="0.2">
      <c r="A133" s="181"/>
      <c r="B133" s="174"/>
      <c r="C133" s="175"/>
      <c r="D133" s="175"/>
      <c r="E133" s="175"/>
      <c r="F133" s="122"/>
      <c r="G133" s="122"/>
      <c r="H133" s="122"/>
      <c r="I133" s="122"/>
      <c r="J133" s="173"/>
      <c r="K133" s="181"/>
      <c r="L133" s="181"/>
      <c r="M133" s="181"/>
      <c r="N133" s="181"/>
      <c r="O133" s="181"/>
      <c r="P133" s="181"/>
      <c r="Q133" s="181"/>
      <c r="R133" s="181"/>
      <c r="S133" s="181"/>
      <c r="T133" s="181"/>
      <c r="U133" s="181"/>
      <c r="V133" s="181"/>
      <c r="W133" s="181"/>
      <c r="X133" s="181"/>
      <c r="Y133" s="181"/>
    </row>
    <row r="134" spans="1:25" ht="15.75" hidden="1" customHeight="1" x14ac:dyDescent="0.2">
      <c r="A134" s="181"/>
      <c r="B134" s="174"/>
      <c r="C134" s="175"/>
      <c r="D134" s="175"/>
      <c r="E134" s="175"/>
      <c r="F134" s="122"/>
      <c r="G134" s="122"/>
      <c r="H134" s="122"/>
      <c r="I134" s="122"/>
      <c r="J134" s="173"/>
      <c r="K134" s="181"/>
      <c r="L134" s="181"/>
      <c r="M134" s="181"/>
      <c r="N134" s="181"/>
      <c r="O134" s="181"/>
      <c r="P134" s="181"/>
      <c r="Q134" s="181"/>
      <c r="R134" s="181"/>
      <c r="S134" s="181"/>
      <c r="T134" s="181"/>
      <c r="U134" s="181"/>
      <c r="V134" s="181"/>
      <c r="W134" s="181"/>
      <c r="X134" s="181"/>
      <c r="Y134" s="181"/>
    </row>
    <row r="135" spans="1:25" ht="15.75" hidden="1" customHeight="1" x14ac:dyDescent="0.2">
      <c r="A135" s="181"/>
      <c r="B135" s="174"/>
      <c r="C135" s="175"/>
      <c r="D135" s="175"/>
      <c r="E135" s="175"/>
      <c r="F135" s="122"/>
      <c r="G135" s="122"/>
      <c r="H135" s="122"/>
      <c r="I135" s="122"/>
      <c r="J135" s="173"/>
      <c r="K135" s="181"/>
      <c r="L135" s="181"/>
      <c r="M135" s="181"/>
      <c r="N135" s="181"/>
      <c r="O135" s="181"/>
      <c r="P135" s="181"/>
      <c r="Q135" s="181"/>
      <c r="R135" s="181"/>
      <c r="S135" s="181"/>
      <c r="T135" s="181"/>
      <c r="U135" s="181"/>
      <c r="V135" s="181"/>
      <c r="W135" s="181"/>
      <c r="X135" s="181"/>
      <c r="Y135" s="181"/>
    </row>
    <row r="136" spans="1:25" ht="15.75" hidden="1" customHeight="1" x14ac:dyDescent="0.2">
      <c r="A136" s="181"/>
      <c r="B136" s="174"/>
      <c r="C136" s="175"/>
      <c r="D136" s="175"/>
      <c r="E136" s="175"/>
      <c r="F136" s="122"/>
      <c r="G136" s="122"/>
      <c r="H136" s="122"/>
      <c r="I136" s="122"/>
      <c r="J136" s="173"/>
      <c r="K136" s="181"/>
      <c r="L136" s="181"/>
      <c r="M136" s="181"/>
      <c r="N136" s="181"/>
      <c r="O136" s="181"/>
      <c r="P136" s="181"/>
      <c r="Q136" s="181"/>
      <c r="R136" s="181"/>
      <c r="S136" s="181"/>
      <c r="T136" s="181"/>
      <c r="U136" s="181"/>
      <c r="V136" s="181"/>
      <c r="W136" s="181"/>
      <c r="X136" s="181"/>
      <c r="Y136" s="181"/>
    </row>
    <row r="137" spans="1:25" ht="15.75" hidden="1" customHeight="1" x14ac:dyDescent="0.2">
      <c r="A137" s="181"/>
      <c r="B137" s="174"/>
      <c r="C137" s="175"/>
      <c r="D137" s="175"/>
      <c r="E137" s="175"/>
      <c r="F137" s="122"/>
      <c r="G137" s="122"/>
      <c r="H137" s="122"/>
      <c r="I137" s="122"/>
      <c r="J137" s="173"/>
      <c r="K137" s="181"/>
      <c r="L137" s="181"/>
      <c r="M137" s="181"/>
      <c r="N137" s="181"/>
      <c r="O137" s="181"/>
      <c r="P137" s="181"/>
      <c r="Q137" s="181"/>
      <c r="R137" s="181"/>
      <c r="S137" s="181"/>
      <c r="T137" s="181"/>
      <c r="U137" s="181"/>
      <c r="V137" s="181"/>
      <c r="W137" s="181"/>
      <c r="X137" s="181"/>
      <c r="Y137" s="181"/>
    </row>
    <row r="138" spans="1:25" ht="15.75" hidden="1" customHeight="1" x14ac:dyDescent="0.2">
      <c r="A138" s="181"/>
      <c r="B138" s="174"/>
      <c r="C138" s="175"/>
      <c r="D138" s="175"/>
      <c r="E138" s="175"/>
      <c r="F138" s="122"/>
      <c r="G138" s="122"/>
      <c r="H138" s="122"/>
      <c r="I138" s="122"/>
      <c r="J138" s="173"/>
      <c r="K138" s="181"/>
      <c r="L138" s="181"/>
      <c r="M138" s="181"/>
      <c r="N138" s="181"/>
      <c r="O138" s="181"/>
      <c r="P138" s="181"/>
      <c r="Q138" s="181"/>
      <c r="R138" s="181"/>
      <c r="S138" s="181"/>
      <c r="T138" s="181"/>
      <c r="U138" s="181"/>
      <c r="V138" s="181"/>
      <c r="W138" s="181"/>
      <c r="X138" s="181"/>
      <c r="Y138" s="181"/>
    </row>
    <row r="139" spans="1:25" ht="15.75" hidden="1" customHeight="1" x14ac:dyDescent="0.2">
      <c r="A139" s="181"/>
      <c r="B139" s="174"/>
      <c r="C139" s="175"/>
      <c r="D139" s="175"/>
      <c r="E139" s="175"/>
      <c r="F139" s="122"/>
      <c r="G139" s="122"/>
      <c r="H139" s="122"/>
      <c r="I139" s="122"/>
      <c r="J139" s="173"/>
      <c r="K139" s="181"/>
      <c r="L139" s="181"/>
      <c r="M139" s="181"/>
      <c r="N139" s="181"/>
      <c r="O139" s="181"/>
      <c r="P139" s="181"/>
      <c r="Q139" s="181"/>
      <c r="R139" s="181"/>
      <c r="S139" s="181"/>
      <c r="T139" s="181"/>
      <c r="U139" s="181"/>
      <c r="V139" s="181"/>
      <c r="W139" s="181"/>
      <c r="X139" s="181"/>
      <c r="Y139" s="181"/>
    </row>
    <row r="140" spans="1:25" ht="15.75" hidden="1" customHeight="1" x14ac:dyDescent="0.2">
      <c r="A140" s="181"/>
      <c r="B140" s="174"/>
      <c r="C140" s="175"/>
      <c r="D140" s="175"/>
      <c r="E140" s="175"/>
      <c r="F140" s="122"/>
      <c r="G140" s="122"/>
      <c r="H140" s="122"/>
      <c r="I140" s="122"/>
      <c r="J140" s="173"/>
      <c r="K140" s="181"/>
      <c r="L140" s="181"/>
      <c r="M140" s="181"/>
      <c r="N140" s="181"/>
      <c r="O140" s="181"/>
      <c r="P140" s="181"/>
      <c r="Q140" s="181"/>
      <c r="R140" s="181"/>
      <c r="S140" s="181"/>
      <c r="T140" s="181"/>
      <c r="U140" s="181"/>
      <c r="V140" s="181"/>
      <c r="W140" s="181"/>
      <c r="X140" s="181"/>
      <c r="Y140" s="181"/>
    </row>
    <row r="141" spans="1:25" ht="15.75" hidden="1" customHeight="1" x14ac:dyDescent="0.2">
      <c r="A141" s="181"/>
      <c r="B141" s="174"/>
      <c r="C141" s="175"/>
      <c r="D141" s="175"/>
      <c r="E141" s="175"/>
      <c r="F141" s="122"/>
      <c r="G141" s="122"/>
      <c r="H141" s="122"/>
      <c r="I141" s="122"/>
      <c r="J141" s="173"/>
      <c r="K141" s="181"/>
      <c r="L141" s="181"/>
      <c r="M141" s="181"/>
      <c r="N141" s="181"/>
      <c r="O141" s="181"/>
      <c r="P141" s="181"/>
      <c r="Q141" s="181"/>
      <c r="R141" s="181"/>
      <c r="S141" s="181"/>
      <c r="T141" s="181"/>
      <c r="U141" s="181"/>
      <c r="V141" s="181"/>
      <c r="W141" s="181"/>
      <c r="X141" s="181"/>
      <c r="Y141" s="181"/>
    </row>
    <row r="142" spans="1:25" ht="15.75" hidden="1" customHeight="1" x14ac:dyDescent="0.2">
      <c r="A142" s="181"/>
      <c r="B142" s="174"/>
      <c r="C142" s="175"/>
      <c r="D142" s="175"/>
      <c r="E142" s="175"/>
      <c r="F142" s="122"/>
      <c r="G142" s="122"/>
      <c r="H142" s="122"/>
      <c r="I142" s="122"/>
      <c r="J142" s="173"/>
      <c r="K142" s="181"/>
      <c r="L142" s="181"/>
      <c r="M142" s="181"/>
      <c r="N142" s="181"/>
      <c r="O142" s="181"/>
      <c r="P142" s="181"/>
      <c r="Q142" s="181"/>
      <c r="R142" s="181"/>
      <c r="S142" s="181"/>
      <c r="T142" s="181"/>
      <c r="U142" s="181"/>
      <c r="V142" s="181"/>
      <c r="W142" s="181"/>
      <c r="X142" s="181"/>
      <c r="Y142" s="181"/>
    </row>
    <row r="143" spans="1:25" ht="15.75" hidden="1" customHeight="1" x14ac:dyDescent="0.2">
      <c r="A143" s="181"/>
      <c r="B143" s="174"/>
      <c r="C143" s="175"/>
      <c r="D143" s="175"/>
      <c r="E143" s="175"/>
      <c r="F143" s="122"/>
      <c r="G143" s="122"/>
      <c r="H143" s="122"/>
      <c r="I143" s="122"/>
      <c r="J143" s="173"/>
      <c r="K143" s="181"/>
      <c r="L143" s="181"/>
      <c r="M143" s="181"/>
      <c r="N143" s="181"/>
      <c r="O143" s="181"/>
      <c r="P143" s="181"/>
      <c r="Q143" s="181"/>
      <c r="R143" s="181"/>
      <c r="S143" s="181"/>
      <c r="T143" s="181"/>
      <c r="U143" s="181"/>
      <c r="V143" s="181"/>
      <c r="W143" s="181"/>
      <c r="X143" s="181"/>
      <c r="Y143" s="181"/>
    </row>
    <row r="144" spans="1:25" ht="15.75" hidden="1" customHeight="1" x14ac:dyDescent="0.2">
      <c r="A144" s="181"/>
      <c r="B144" s="174"/>
      <c r="C144" s="175"/>
      <c r="D144" s="175"/>
      <c r="E144" s="175"/>
      <c r="F144" s="122"/>
      <c r="G144" s="122"/>
      <c r="H144" s="122"/>
      <c r="I144" s="122"/>
      <c r="J144" s="173"/>
      <c r="K144" s="181"/>
      <c r="L144" s="181"/>
      <c r="M144" s="181"/>
      <c r="N144" s="181"/>
      <c r="O144" s="181"/>
      <c r="P144" s="181"/>
      <c r="Q144" s="181"/>
      <c r="R144" s="181"/>
      <c r="S144" s="181"/>
      <c r="T144" s="181"/>
      <c r="U144" s="181"/>
      <c r="V144" s="181"/>
      <c r="W144" s="181"/>
      <c r="X144" s="181"/>
      <c r="Y144" s="181"/>
    </row>
    <row r="145" spans="1:25" ht="15.75" hidden="1" customHeight="1" x14ac:dyDescent="0.2">
      <c r="A145" s="181"/>
      <c r="B145" s="174"/>
      <c r="C145" s="175"/>
      <c r="D145" s="175"/>
      <c r="E145" s="175"/>
      <c r="F145" s="122"/>
      <c r="G145" s="122"/>
      <c r="H145" s="122"/>
      <c r="I145" s="122"/>
      <c r="J145" s="173"/>
      <c r="K145" s="181"/>
      <c r="L145" s="181"/>
      <c r="M145" s="181"/>
      <c r="N145" s="181"/>
      <c r="O145" s="181"/>
      <c r="P145" s="181"/>
      <c r="Q145" s="181"/>
      <c r="R145" s="181"/>
      <c r="S145" s="181"/>
      <c r="T145" s="181"/>
      <c r="U145" s="181"/>
      <c r="V145" s="181"/>
      <c r="W145" s="181"/>
      <c r="X145" s="181"/>
      <c r="Y145" s="181"/>
    </row>
    <row r="146" spans="1:25" ht="15.75" hidden="1" customHeight="1" x14ac:dyDescent="0.2">
      <c r="A146" s="181"/>
      <c r="B146" s="174"/>
      <c r="C146" s="175"/>
      <c r="D146" s="175"/>
      <c r="E146" s="175"/>
      <c r="F146" s="122"/>
      <c r="G146" s="122"/>
      <c r="H146" s="122"/>
      <c r="I146" s="122"/>
      <c r="J146" s="173"/>
      <c r="K146" s="181"/>
      <c r="L146" s="181"/>
      <c r="M146" s="181"/>
      <c r="N146" s="181"/>
      <c r="O146" s="181"/>
      <c r="P146" s="181"/>
      <c r="Q146" s="181"/>
      <c r="R146" s="181"/>
      <c r="S146" s="181"/>
      <c r="T146" s="181"/>
      <c r="U146" s="181"/>
      <c r="V146" s="181"/>
      <c r="W146" s="181"/>
      <c r="X146" s="181"/>
      <c r="Y146" s="181"/>
    </row>
    <row r="147" spans="1:25" ht="15.75" hidden="1" customHeight="1" x14ac:dyDescent="0.2">
      <c r="A147" s="181"/>
      <c r="B147" s="174"/>
      <c r="C147" s="175"/>
      <c r="D147" s="175"/>
      <c r="E147" s="175"/>
      <c r="F147" s="122"/>
      <c r="G147" s="122"/>
      <c r="H147" s="122"/>
      <c r="I147" s="122"/>
      <c r="J147" s="173"/>
      <c r="K147" s="181"/>
      <c r="L147" s="181"/>
      <c r="M147" s="181"/>
      <c r="N147" s="181"/>
      <c r="O147" s="181"/>
      <c r="P147" s="181"/>
      <c r="Q147" s="181"/>
      <c r="R147" s="181"/>
      <c r="S147" s="181"/>
      <c r="T147" s="181"/>
      <c r="U147" s="181"/>
      <c r="V147" s="181"/>
      <c r="W147" s="181"/>
      <c r="X147" s="181"/>
      <c r="Y147" s="181"/>
    </row>
    <row r="148" spans="1:25" ht="15.75" hidden="1" customHeight="1" x14ac:dyDescent="0.2">
      <c r="A148" s="181"/>
      <c r="B148" s="174"/>
      <c r="C148" s="175"/>
      <c r="D148" s="175"/>
      <c r="E148" s="175"/>
      <c r="F148" s="122"/>
      <c r="G148" s="122"/>
      <c r="H148" s="122"/>
      <c r="I148" s="122"/>
      <c r="J148" s="173"/>
      <c r="K148" s="181"/>
      <c r="L148" s="181"/>
      <c r="M148" s="181"/>
      <c r="N148" s="181"/>
      <c r="O148" s="181"/>
      <c r="P148" s="181"/>
      <c r="Q148" s="181"/>
      <c r="R148" s="181"/>
      <c r="S148" s="181"/>
      <c r="T148" s="181"/>
      <c r="U148" s="181"/>
      <c r="V148" s="181"/>
      <c r="W148" s="181"/>
      <c r="X148" s="181"/>
      <c r="Y148" s="181"/>
    </row>
    <row r="149" spans="1:25" ht="15.75" hidden="1" customHeight="1" x14ac:dyDescent="0.2">
      <c r="A149" s="181"/>
      <c r="B149" s="174"/>
      <c r="C149" s="175"/>
      <c r="D149" s="175"/>
      <c r="E149" s="175"/>
      <c r="F149" s="122"/>
      <c r="G149" s="122"/>
      <c r="H149" s="122"/>
      <c r="I149" s="122"/>
      <c r="J149" s="173"/>
      <c r="K149" s="181"/>
      <c r="L149" s="181"/>
      <c r="M149" s="181"/>
      <c r="N149" s="181"/>
      <c r="O149" s="181"/>
      <c r="P149" s="181"/>
      <c r="Q149" s="181"/>
      <c r="R149" s="181"/>
      <c r="S149" s="181"/>
      <c r="T149" s="181"/>
      <c r="U149" s="181"/>
      <c r="V149" s="181"/>
      <c r="W149" s="181"/>
      <c r="X149" s="181"/>
      <c r="Y149" s="181"/>
    </row>
    <row r="150" spans="1:25" ht="15.75" hidden="1" customHeight="1" x14ac:dyDescent="0.2">
      <c r="A150" s="181"/>
      <c r="B150" s="174"/>
      <c r="C150" s="175"/>
      <c r="D150" s="175"/>
      <c r="E150" s="175"/>
      <c r="F150" s="122"/>
      <c r="G150" s="122"/>
      <c r="H150" s="122"/>
      <c r="I150" s="122"/>
      <c r="J150" s="173"/>
      <c r="K150" s="181"/>
      <c r="L150" s="181"/>
      <c r="M150" s="181"/>
      <c r="N150" s="181"/>
      <c r="O150" s="181"/>
      <c r="P150" s="181"/>
      <c r="Q150" s="181"/>
      <c r="R150" s="181"/>
      <c r="S150" s="181"/>
      <c r="T150" s="181"/>
      <c r="U150" s="181"/>
      <c r="V150" s="181"/>
      <c r="W150" s="181"/>
      <c r="X150" s="181"/>
      <c r="Y150" s="181"/>
    </row>
    <row r="151" spans="1:25" ht="15.75" hidden="1" customHeight="1" x14ac:dyDescent="0.2">
      <c r="A151" s="181"/>
      <c r="B151" s="174"/>
      <c r="C151" s="175"/>
      <c r="D151" s="175"/>
      <c r="E151" s="175"/>
      <c r="F151" s="122"/>
      <c r="G151" s="122"/>
      <c r="H151" s="122"/>
      <c r="I151" s="122"/>
      <c r="J151" s="173"/>
      <c r="K151" s="181"/>
      <c r="L151" s="181"/>
      <c r="M151" s="181"/>
      <c r="N151" s="181"/>
      <c r="O151" s="181"/>
      <c r="P151" s="181"/>
      <c r="Q151" s="181"/>
      <c r="R151" s="181"/>
      <c r="S151" s="181"/>
      <c r="T151" s="181"/>
      <c r="U151" s="181"/>
      <c r="V151" s="181"/>
      <c r="W151" s="181"/>
      <c r="X151" s="181"/>
      <c r="Y151" s="181"/>
    </row>
    <row r="152" spans="1:25" ht="15.75" hidden="1" customHeight="1" x14ac:dyDescent="0.2">
      <c r="A152" s="181"/>
      <c r="B152" s="174"/>
      <c r="C152" s="175"/>
      <c r="D152" s="175"/>
      <c r="E152" s="175"/>
      <c r="F152" s="122"/>
      <c r="G152" s="122"/>
      <c r="H152" s="122"/>
      <c r="I152" s="122"/>
      <c r="J152" s="173"/>
      <c r="K152" s="181"/>
      <c r="L152" s="181"/>
      <c r="M152" s="181"/>
      <c r="N152" s="181"/>
      <c r="O152" s="181"/>
      <c r="P152" s="181"/>
      <c r="Q152" s="181"/>
      <c r="R152" s="181"/>
      <c r="S152" s="181"/>
      <c r="T152" s="181"/>
      <c r="U152" s="181"/>
      <c r="V152" s="181"/>
      <c r="W152" s="181"/>
      <c r="X152" s="181"/>
      <c r="Y152" s="181"/>
    </row>
    <row r="153" spans="1:25" ht="15.75" hidden="1" customHeight="1" x14ac:dyDescent="0.2">
      <c r="A153" s="181"/>
      <c r="B153" s="174"/>
      <c r="C153" s="175"/>
      <c r="D153" s="175"/>
      <c r="E153" s="175"/>
      <c r="F153" s="122"/>
      <c r="G153" s="122"/>
      <c r="H153" s="122"/>
      <c r="I153" s="122"/>
      <c r="J153" s="173"/>
      <c r="K153" s="181"/>
      <c r="L153" s="181"/>
      <c r="M153" s="181"/>
      <c r="N153" s="181"/>
      <c r="O153" s="181"/>
      <c r="P153" s="181"/>
      <c r="Q153" s="181"/>
      <c r="R153" s="181"/>
      <c r="S153" s="181"/>
      <c r="T153" s="181"/>
      <c r="U153" s="181"/>
      <c r="V153" s="181"/>
      <c r="W153" s="181"/>
      <c r="X153" s="181"/>
      <c r="Y153" s="181"/>
    </row>
    <row r="154" spans="1:25" ht="15.75" hidden="1" customHeight="1" x14ac:dyDescent="0.2">
      <c r="A154" s="181"/>
      <c r="B154" s="174"/>
      <c r="C154" s="175"/>
      <c r="D154" s="175"/>
      <c r="E154" s="175"/>
      <c r="F154" s="122"/>
      <c r="G154" s="122"/>
      <c r="H154" s="122"/>
      <c r="I154" s="122"/>
      <c r="J154" s="173"/>
      <c r="K154" s="181"/>
      <c r="L154" s="181"/>
      <c r="M154" s="181"/>
      <c r="N154" s="181"/>
      <c r="O154" s="181"/>
      <c r="P154" s="181"/>
      <c r="Q154" s="181"/>
      <c r="R154" s="181"/>
      <c r="S154" s="181"/>
      <c r="T154" s="181"/>
      <c r="U154" s="181"/>
      <c r="V154" s="181"/>
      <c r="W154" s="181"/>
      <c r="X154" s="181"/>
      <c r="Y154" s="181"/>
    </row>
    <row r="155" spans="1:25" ht="15.75" hidden="1" customHeight="1" x14ac:dyDescent="0.2">
      <c r="A155" s="181"/>
      <c r="B155" s="174"/>
      <c r="C155" s="175"/>
      <c r="D155" s="175"/>
      <c r="E155" s="175"/>
      <c r="F155" s="122"/>
      <c r="G155" s="122"/>
      <c r="H155" s="122"/>
      <c r="I155" s="122"/>
      <c r="J155" s="173"/>
      <c r="K155" s="181"/>
      <c r="L155" s="181"/>
      <c r="M155" s="181"/>
      <c r="N155" s="181"/>
      <c r="O155" s="181"/>
      <c r="P155" s="181"/>
      <c r="Q155" s="181"/>
      <c r="R155" s="181"/>
      <c r="S155" s="181"/>
      <c r="T155" s="181"/>
      <c r="U155" s="181"/>
      <c r="V155" s="181"/>
      <c r="W155" s="181"/>
      <c r="X155" s="181"/>
      <c r="Y155" s="181"/>
    </row>
    <row r="156" spans="1:25" ht="15.75" hidden="1" customHeight="1" x14ac:dyDescent="0.2">
      <c r="A156" s="181"/>
      <c r="B156" s="174"/>
      <c r="C156" s="175"/>
      <c r="D156" s="175"/>
      <c r="E156" s="175"/>
      <c r="F156" s="122"/>
      <c r="G156" s="122"/>
      <c r="H156" s="122"/>
      <c r="I156" s="122"/>
      <c r="J156" s="173"/>
      <c r="K156" s="181"/>
      <c r="L156" s="181"/>
      <c r="M156" s="181"/>
      <c r="N156" s="181"/>
      <c r="O156" s="181"/>
      <c r="P156" s="181"/>
      <c r="Q156" s="181"/>
      <c r="R156" s="181"/>
      <c r="S156" s="181"/>
      <c r="T156" s="181"/>
      <c r="U156" s="181"/>
      <c r="V156" s="181"/>
      <c r="W156" s="181"/>
      <c r="X156" s="181"/>
      <c r="Y156" s="181"/>
    </row>
    <row r="157" spans="1:25" ht="15.75" hidden="1" customHeight="1" x14ac:dyDescent="0.2">
      <c r="A157" s="181"/>
      <c r="B157" s="174"/>
      <c r="C157" s="175"/>
      <c r="D157" s="175"/>
      <c r="E157" s="175"/>
      <c r="F157" s="122"/>
      <c r="G157" s="122"/>
      <c r="H157" s="122"/>
      <c r="I157" s="122"/>
      <c r="J157" s="173"/>
      <c r="K157" s="181"/>
      <c r="L157" s="181"/>
      <c r="M157" s="181"/>
      <c r="N157" s="181"/>
      <c r="O157" s="181"/>
      <c r="P157" s="181"/>
      <c r="Q157" s="181"/>
      <c r="R157" s="181"/>
      <c r="S157" s="181"/>
      <c r="T157" s="181"/>
      <c r="U157" s="181"/>
      <c r="V157" s="181"/>
      <c r="W157" s="181"/>
      <c r="X157" s="181"/>
      <c r="Y157" s="181"/>
    </row>
    <row r="158" spans="1:25" ht="15.75" hidden="1" customHeight="1" x14ac:dyDescent="0.2">
      <c r="A158" s="181"/>
      <c r="B158" s="174"/>
      <c r="C158" s="175"/>
      <c r="D158" s="175"/>
      <c r="E158" s="175"/>
      <c r="F158" s="122"/>
      <c r="G158" s="122"/>
      <c r="H158" s="122"/>
      <c r="I158" s="122"/>
      <c r="J158" s="173"/>
      <c r="K158" s="181"/>
      <c r="L158" s="181"/>
      <c r="M158" s="181"/>
      <c r="N158" s="181"/>
      <c r="O158" s="181"/>
      <c r="P158" s="181"/>
      <c r="Q158" s="181"/>
      <c r="R158" s="181"/>
      <c r="S158" s="181"/>
      <c r="T158" s="181"/>
      <c r="U158" s="181"/>
      <c r="V158" s="181"/>
      <c r="W158" s="181"/>
      <c r="X158" s="181"/>
      <c r="Y158" s="181"/>
    </row>
    <row r="159" spans="1:25" ht="15.75" hidden="1" customHeight="1" x14ac:dyDescent="0.2">
      <c r="A159" s="181"/>
      <c r="B159" s="174"/>
      <c r="C159" s="175"/>
      <c r="D159" s="175"/>
      <c r="E159" s="175"/>
      <c r="F159" s="122"/>
      <c r="G159" s="122"/>
      <c r="H159" s="122"/>
      <c r="I159" s="122"/>
      <c r="J159" s="173"/>
      <c r="K159" s="181"/>
      <c r="L159" s="181"/>
      <c r="M159" s="181"/>
      <c r="N159" s="181"/>
      <c r="O159" s="181"/>
      <c r="P159" s="181"/>
      <c r="Q159" s="181"/>
      <c r="R159" s="181"/>
      <c r="S159" s="181"/>
      <c r="T159" s="181"/>
      <c r="U159" s="181"/>
      <c r="V159" s="181"/>
      <c r="W159" s="181"/>
      <c r="X159" s="181"/>
      <c r="Y159" s="181"/>
    </row>
    <row r="160" spans="1:25" ht="15.75" hidden="1" customHeight="1" x14ac:dyDescent="0.2">
      <c r="A160" s="181"/>
      <c r="B160" s="174"/>
      <c r="C160" s="175"/>
      <c r="D160" s="175"/>
      <c r="E160" s="175"/>
      <c r="F160" s="122"/>
      <c r="G160" s="122"/>
      <c r="H160" s="122"/>
      <c r="I160" s="122"/>
      <c r="J160" s="173"/>
      <c r="K160" s="181"/>
      <c r="L160" s="181"/>
      <c r="M160" s="181"/>
      <c r="N160" s="181"/>
      <c r="O160" s="181"/>
      <c r="P160" s="181"/>
      <c r="Q160" s="181"/>
      <c r="R160" s="181"/>
      <c r="S160" s="181"/>
      <c r="T160" s="181"/>
      <c r="U160" s="181"/>
      <c r="V160" s="181"/>
      <c r="W160" s="181"/>
      <c r="X160" s="181"/>
      <c r="Y160" s="181"/>
    </row>
    <row r="161" spans="1:25" ht="15.75" hidden="1" customHeight="1" x14ac:dyDescent="0.2">
      <c r="A161" s="181"/>
      <c r="B161" s="174"/>
      <c r="C161" s="175"/>
      <c r="D161" s="175"/>
      <c r="E161" s="175"/>
      <c r="F161" s="122"/>
      <c r="G161" s="122"/>
      <c r="H161" s="122"/>
      <c r="I161" s="122"/>
      <c r="J161" s="173"/>
      <c r="K161" s="181"/>
      <c r="L161" s="181"/>
      <c r="M161" s="181"/>
      <c r="N161" s="181"/>
      <c r="O161" s="181"/>
      <c r="P161" s="181"/>
      <c r="Q161" s="181"/>
      <c r="R161" s="181"/>
      <c r="S161" s="181"/>
      <c r="T161" s="181"/>
      <c r="U161" s="181"/>
      <c r="V161" s="181"/>
      <c r="W161" s="181"/>
      <c r="X161" s="181"/>
      <c r="Y161" s="181"/>
    </row>
    <row r="162" spans="1:25" ht="15.75" hidden="1" customHeight="1" x14ac:dyDescent="0.2">
      <c r="A162" s="181"/>
      <c r="B162" s="174"/>
      <c r="C162" s="175"/>
      <c r="D162" s="175"/>
      <c r="E162" s="175"/>
      <c r="F162" s="122"/>
      <c r="G162" s="122"/>
      <c r="H162" s="122"/>
      <c r="I162" s="122"/>
      <c r="J162" s="173"/>
      <c r="K162" s="181"/>
      <c r="L162" s="181"/>
      <c r="M162" s="181"/>
      <c r="N162" s="181"/>
      <c r="O162" s="181"/>
      <c r="P162" s="181"/>
      <c r="Q162" s="181"/>
      <c r="R162" s="181"/>
      <c r="S162" s="181"/>
      <c r="T162" s="181"/>
      <c r="U162" s="181"/>
      <c r="V162" s="181"/>
      <c r="W162" s="181"/>
      <c r="X162" s="181"/>
      <c r="Y162" s="181"/>
    </row>
    <row r="163" spans="1:25" ht="15.75" hidden="1" customHeight="1" x14ac:dyDescent="0.2">
      <c r="A163" s="181"/>
      <c r="B163" s="174"/>
      <c r="C163" s="175"/>
      <c r="D163" s="175"/>
      <c r="E163" s="175"/>
      <c r="F163" s="122"/>
      <c r="G163" s="122"/>
      <c r="H163" s="122"/>
      <c r="I163" s="122"/>
      <c r="J163" s="173"/>
      <c r="K163" s="181"/>
      <c r="L163" s="181"/>
      <c r="M163" s="181"/>
      <c r="N163" s="181"/>
      <c r="O163" s="181"/>
      <c r="P163" s="181"/>
      <c r="Q163" s="181"/>
      <c r="R163" s="181"/>
      <c r="S163" s="181"/>
      <c r="T163" s="181"/>
      <c r="U163" s="181"/>
      <c r="V163" s="181"/>
      <c r="W163" s="181"/>
      <c r="X163" s="181"/>
      <c r="Y163" s="181"/>
    </row>
    <row r="164" spans="1:25" ht="15.75" hidden="1" customHeight="1" x14ac:dyDescent="0.2">
      <c r="A164" s="181"/>
      <c r="B164" s="174"/>
      <c r="C164" s="175"/>
      <c r="D164" s="175"/>
      <c r="E164" s="175"/>
      <c r="F164" s="122"/>
      <c r="G164" s="122"/>
      <c r="H164" s="122"/>
      <c r="I164" s="122"/>
      <c r="J164" s="173"/>
      <c r="K164" s="181"/>
      <c r="L164" s="181"/>
      <c r="M164" s="181"/>
      <c r="N164" s="181"/>
      <c r="O164" s="181"/>
      <c r="P164" s="181"/>
      <c r="Q164" s="181"/>
      <c r="R164" s="181"/>
      <c r="S164" s="181"/>
      <c r="T164" s="181"/>
      <c r="U164" s="181"/>
      <c r="V164" s="181"/>
      <c r="W164" s="181"/>
      <c r="X164" s="181"/>
      <c r="Y164" s="181"/>
    </row>
    <row r="165" spans="1:25" ht="15.75" hidden="1" customHeight="1" x14ac:dyDescent="0.2">
      <c r="A165" s="181"/>
      <c r="B165" s="174"/>
      <c r="C165" s="175"/>
      <c r="D165" s="175"/>
      <c r="E165" s="175"/>
      <c r="F165" s="122"/>
      <c r="G165" s="122"/>
      <c r="H165" s="122"/>
      <c r="I165" s="122"/>
      <c r="J165" s="173"/>
      <c r="K165" s="181"/>
      <c r="L165" s="181"/>
      <c r="M165" s="181"/>
      <c r="N165" s="181"/>
      <c r="O165" s="181"/>
      <c r="P165" s="181"/>
      <c r="Q165" s="181"/>
      <c r="R165" s="181"/>
      <c r="S165" s="181"/>
      <c r="T165" s="181"/>
      <c r="U165" s="181"/>
      <c r="V165" s="181"/>
      <c r="W165" s="181"/>
      <c r="X165" s="181"/>
      <c r="Y165" s="181"/>
    </row>
    <row r="166" spans="1:25" ht="15.75" hidden="1" customHeight="1" x14ac:dyDescent="0.2">
      <c r="A166" s="181"/>
      <c r="B166" s="174"/>
      <c r="C166" s="175"/>
      <c r="D166" s="175"/>
      <c r="E166" s="175"/>
      <c r="F166" s="122"/>
      <c r="G166" s="122"/>
      <c r="H166" s="122"/>
      <c r="I166" s="122"/>
      <c r="J166" s="173"/>
      <c r="K166" s="181"/>
      <c r="L166" s="181"/>
      <c r="M166" s="181"/>
      <c r="N166" s="181"/>
      <c r="O166" s="181"/>
      <c r="P166" s="181"/>
      <c r="Q166" s="181"/>
      <c r="R166" s="181"/>
      <c r="S166" s="181"/>
      <c r="T166" s="181"/>
      <c r="U166" s="181"/>
      <c r="V166" s="181"/>
      <c r="W166" s="181"/>
      <c r="X166" s="181"/>
      <c r="Y166" s="181"/>
    </row>
    <row r="167" spans="1:25" ht="15.75" hidden="1" customHeight="1" x14ac:dyDescent="0.2">
      <c r="A167" s="181"/>
      <c r="B167" s="174"/>
      <c r="C167" s="175"/>
      <c r="D167" s="175"/>
      <c r="E167" s="175"/>
      <c r="F167" s="122"/>
      <c r="G167" s="122"/>
      <c r="H167" s="122"/>
      <c r="I167" s="122"/>
      <c r="J167" s="173"/>
      <c r="K167" s="181"/>
      <c r="L167" s="181"/>
      <c r="M167" s="181"/>
      <c r="N167" s="181"/>
      <c r="O167" s="181"/>
      <c r="P167" s="181"/>
      <c r="Q167" s="181"/>
      <c r="R167" s="181"/>
      <c r="S167" s="181"/>
      <c r="T167" s="181"/>
      <c r="U167" s="181"/>
      <c r="V167" s="181"/>
      <c r="W167" s="181"/>
      <c r="X167" s="181"/>
      <c r="Y167" s="181"/>
    </row>
    <row r="168" spans="1:25" ht="15.75" hidden="1" customHeight="1" x14ac:dyDescent="0.2">
      <c r="A168" s="181"/>
      <c r="B168" s="174"/>
      <c r="C168" s="175"/>
      <c r="D168" s="175"/>
      <c r="E168" s="175"/>
      <c r="F168" s="122"/>
      <c r="G168" s="122"/>
      <c r="H168" s="122"/>
      <c r="I168" s="122"/>
      <c r="J168" s="173"/>
      <c r="K168" s="181"/>
      <c r="L168" s="181"/>
      <c r="M168" s="181"/>
      <c r="N168" s="181"/>
      <c r="O168" s="181"/>
      <c r="P168" s="181"/>
      <c r="Q168" s="181"/>
      <c r="R168" s="181"/>
      <c r="S168" s="181"/>
      <c r="T168" s="181"/>
      <c r="U168" s="181"/>
      <c r="V168" s="181"/>
      <c r="W168" s="181"/>
      <c r="X168" s="181"/>
      <c r="Y168" s="181"/>
    </row>
    <row r="169" spans="1:25" ht="15.75" hidden="1" customHeight="1" x14ac:dyDescent="0.2">
      <c r="A169" s="181"/>
      <c r="B169" s="174"/>
      <c r="C169" s="175"/>
      <c r="D169" s="175"/>
      <c r="E169" s="175"/>
      <c r="F169" s="122"/>
      <c r="G169" s="122"/>
      <c r="H169" s="122"/>
      <c r="I169" s="122"/>
      <c r="J169" s="173"/>
      <c r="K169" s="181"/>
      <c r="L169" s="181"/>
      <c r="M169" s="181"/>
      <c r="N169" s="181"/>
      <c r="O169" s="181"/>
      <c r="P169" s="181"/>
      <c r="Q169" s="181"/>
      <c r="R169" s="181"/>
      <c r="S169" s="181"/>
      <c r="T169" s="181"/>
      <c r="U169" s="181"/>
      <c r="V169" s="181"/>
      <c r="W169" s="181"/>
      <c r="X169" s="181"/>
      <c r="Y169" s="181"/>
    </row>
    <row r="170" spans="1:25" ht="15.75" hidden="1" customHeight="1" x14ac:dyDescent="0.2">
      <c r="A170" s="181"/>
      <c r="B170" s="174"/>
      <c r="C170" s="175"/>
      <c r="D170" s="175"/>
      <c r="E170" s="175"/>
      <c r="F170" s="122"/>
      <c r="G170" s="122"/>
      <c r="H170" s="122"/>
      <c r="I170" s="122"/>
      <c r="J170" s="173"/>
      <c r="K170" s="181"/>
      <c r="L170" s="181"/>
      <c r="M170" s="181"/>
      <c r="N170" s="181"/>
      <c r="O170" s="181"/>
      <c r="P170" s="181"/>
      <c r="Q170" s="181"/>
      <c r="R170" s="181"/>
      <c r="S170" s="181"/>
      <c r="T170" s="181"/>
      <c r="U170" s="181"/>
      <c r="V170" s="181"/>
      <c r="W170" s="181"/>
      <c r="X170" s="181"/>
      <c r="Y170" s="181"/>
    </row>
    <row r="171" spans="1:25" ht="15.75" hidden="1" customHeight="1" x14ac:dyDescent="0.2">
      <c r="A171" s="181"/>
      <c r="B171" s="174"/>
      <c r="C171" s="175"/>
      <c r="D171" s="175"/>
      <c r="E171" s="175"/>
      <c r="F171" s="122"/>
      <c r="G171" s="122"/>
      <c r="H171" s="122"/>
      <c r="I171" s="122"/>
      <c r="J171" s="173"/>
      <c r="K171" s="181"/>
      <c r="L171" s="181"/>
      <c r="M171" s="181"/>
      <c r="N171" s="181"/>
      <c r="O171" s="181"/>
      <c r="P171" s="181"/>
      <c r="Q171" s="181"/>
      <c r="R171" s="181"/>
      <c r="S171" s="181"/>
      <c r="T171" s="181"/>
      <c r="U171" s="181"/>
      <c r="V171" s="181"/>
      <c r="W171" s="181"/>
      <c r="X171" s="181"/>
      <c r="Y171" s="181"/>
    </row>
    <row r="172" spans="1:25" ht="15.75" hidden="1" customHeight="1" x14ac:dyDescent="0.2">
      <c r="A172" s="181"/>
      <c r="B172" s="174"/>
      <c r="C172" s="175"/>
      <c r="D172" s="175"/>
      <c r="E172" s="175"/>
      <c r="F172" s="122"/>
      <c r="G172" s="122"/>
      <c r="H172" s="122"/>
      <c r="I172" s="122"/>
      <c r="J172" s="173"/>
      <c r="K172" s="181"/>
      <c r="L172" s="181"/>
      <c r="M172" s="181"/>
      <c r="N172" s="181"/>
      <c r="O172" s="181"/>
      <c r="P172" s="181"/>
      <c r="Q172" s="181"/>
      <c r="R172" s="181"/>
      <c r="S172" s="181"/>
      <c r="T172" s="181"/>
      <c r="U172" s="181"/>
      <c r="V172" s="181"/>
      <c r="W172" s="181"/>
      <c r="X172" s="181"/>
      <c r="Y172" s="181"/>
    </row>
    <row r="173" spans="1:25" ht="15.75" hidden="1" customHeight="1" x14ac:dyDescent="0.2">
      <c r="A173" s="181"/>
      <c r="B173" s="174"/>
      <c r="C173" s="175"/>
      <c r="D173" s="175"/>
      <c r="E173" s="175"/>
      <c r="F173" s="122"/>
      <c r="G173" s="122"/>
      <c r="H173" s="122"/>
      <c r="I173" s="122"/>
      <c r="J173" s="173"/>
      <c r="K173" s="181"/>
      <c r="L173" s="181"/>
      <c r="M173" s="181"/>
      <c r="N173" s="181"/>
      <c r="O173" s="181"/>
      <c r="P173" s="181"/>
      <c r="Q173" s="181"/>
      <c r="R173" s="181"/>
      <c r="S173" s="181"/>
      <c r="T173" s="181"/>
      <c r="U173" s="181"/>
      <c r="V173" s="181"/>
      <c r="W173" s="181"/>
      <c r="X173" s="181"/>
      <c r="Y173" s="181"/>
    </row>
    <row r="174" spans="1:25" ht="15.75" hidden="1" customHeight="1" x14ac:dyDescent="0.2">
      <c r="A174" s="181"/>
      <c r="B174" s="174"/>
      <c r="C174" s="175"/>
      <c r="D174" s="175"/>
      <c r="E174" s="175"/>
      <c r="F174" s="122"/>
      <c r="G174" s="122"/>
      <c r="H174" s="122"/>
      <c r="I174" s="122"/>
      <c r="J174" s="173"/>
      <c r="K174" s="181"/>
      <c r="L174" s="181"/>
      <c r="M174" s="181"/>
      <c r="N174" s="181"/>
      <c r="O174" s="181"/>
      <c r="P174" s="181"/>
      <c r="Q174" s="181"/>
      <c r="R174" s="181"/>
      <c r="S174" s="181"/>
      <c r="T174" s="181"/>
      <c r="U174" s="181"/>
      <c r="V174" s="181"/>
      <c r="W174" s="181"/>
      <c r="X174" s="181"/>
      <c r="Y174" s="181"/>
    </row>
    <row r="175" spans="1:25" ht="15.75" hidden="1" customHeight="1" x14ac:dyDescent="0.2">
      <c r="A175" s="181"/>
      <c r="B175" s="174"/>
      <c r="C175" s="175"/>
      <c r="D175" s="175"/>
      <c r="E175" s="175"/>
      <c r="F175" s="122"/>
      <c r="G175" s="122"/>
      <c r="H175" s="122"/>
      <c r="I175" s="122"/>
      <c r="J175" s="173"/>
      <c r="K175" s="181"/>
      <c r="L175" s="181"/>
      <c r="M175" s="181"/>
      <c r="N175" s="181"/>
      <c r="O175" s="181"/>
      <c r="P175" s="181"/>
      <c r="Q175" s="181"/>
      <c r="R175" s="181"/>
      <c r="S175" s="181"/>
      <c r="T175" s="181"/>
      <c r="U175" s="181"/>
      <c r="V175" s="181"/>
      <c r="W175" s="181"/>
      <c r="X175" s="181"/>
      <c r="Y175" s="181"/>
    </row>
    <row r="176" spans="1:25" ht="15.75" hidden="1" customHeight="1" x14ac:dyDescent="0.2">
      <c r="A176" s="181"/>
      <c r="B176" s="174"/>
      <c r="C176" s="175"/>
      <c r="D176" s="175"/>
      <c r="E176" s="175"/>
      <c r="F176" s="122"/>
      <c r="G176" s="122"/>
      <c r="H176" s="122"/>
      <c r="I176" s="122"/>
      <c r="J176" s="173"/>
      <c r="K176" s="181"/>
      <c r="L176" s="181"/>
      <c r="M176" s="181"/>
      <c r="N176" s="181"/>
      <c r="O176" s="181"/>
      <c r="P176" s="181"/>
      <c r="Q176" s="181"/>
      <c r="R176" s="181"/>
      <c r="S176" s="181"/>
      <c r="T176" s="181"/>
      <c r="U176" s="181"/>
      <c r="V176" s="181"/>
      <c r="W176" s="181"/>
      <c r="X176" s="181"/>
      <c r="Y176" s="181"/>
    </row>
    <row r="177" spans="1:25" ht="15.75" hidden="1" customHeight="1" x14ac:dyDescent="0.2">
      <c r="A177" s="181"/>
      <c r="B177" s="174"/>
      <c r="C177" s="175"/>
      <c r="D177" s="175"/>
      <c r="E177" s="175"/>
      <c r="F177" s="122"/>
      <c r="G177" s="122"/>
      <c r="H177" s="122"/>
      <c r="I177" s="122"/>
      <c r="J177" s="173"/>
      <c r="K177" s="181"/>
      <c r="L177" s="181"/>
      <c r="M177" s="181"/>
      <c r="N177" s="181"/>
      <c r="O177" s="181"/>
      <c r="P177" s="181"/>
      <c r="Q177" s="181"/>
      <c r="R177" s="181"/>
      <c r="S177" s="181"/>
      <c r="T177" s="181"/>
      <c r="U177" s="181"/>
      <c r="V177" s="181"/>
      <c r="W177" s="181"/>
      <c r="X177" s="181"/>
      <c r="Y177" s="181"/>
    </row>
    <row r="178" spans="1:25" ht="15.75" hidden="1" customHeight="1" x14ac:dyDescent="0.2">
      <c r="A178" s="181"/>
      <c r="B178" s="174"/>
      <c r="C178" s="175"/>
      <c r="D178" s="175"/>
      <c r="E178" s="175"/>
      <c r="F178" s="122"/>
      <c r="G178" s="122"/>
      <c r="H178" s="122"/>
      <c r="I178" s="122"/>
      <c r="J178" s="173"/>
      <c r="K178" s="181"/>
      <c r="L178" s="181"/>
      <c r="M178" s="181"/>
      <c r="N178" s="181"/>
      <c r="O178" s="181"/>
      <c r="P178" s="181"/>
      <c r="Q178" s="181"/>
      <c r="R178" s="181"/>
      <c r="S178" s="181"/>
      <c r="T178" s="181"/>
      <c r="U178" s="181"/>
      <c r="V178" s="181"/>
      <c r="W178" s="181"/>
      <c r="X178" s="181"/>
      <c r="Y178" s="181"/>
    </row>
    <row r="179" spans="1:25" ht="15.75" hidden="1" customHeight="1" x14ac:dyDescent="0.2">
      <c r="A179" s="181"/>
      <c r="B179" s="174"/>
      <c r="C179" s="175"/>
      <c r="D179" s="175"/>
      <c r="E179" s="175"/>
      <c r="F179" s="122"/>
      <c r="G179" s="122"/>
      <c r="H179" s="122"/>
      <c r="I179" s="122"/>
      <c r="J179" s="173"/>
      <c r="K179" s="181"/>
      <c r="L179" s="181"/>
      <c r="M179" s="181"/>
      <c r="N179" s="181"/>
      <c r="O179" s="181"/>
      <c r="P179" s="181"/>
      <c r="Q179" s="181"/>
      <c r="R179" s="181"/>
      <c r="S179" s="181"/>
      <c r="T179" s="181"/>
      <c r="U179" s="181"/>
      <c r="V179" s="181"/>
      <c r="W179" s="181"/>
      <c r="X179" s="181"/>
      <c r="Y179" s="181"/>
    </row>
    <row r="180" spans="1:25" ht="15.75" hidden="1" customHeight="1" x14ac:dyDescent="0.2">
      <c r="A180" s="181"/>
      <c r="B180" s="174"/>
      <c r="C180" s="175"/>
      <c r="D180" s="175"/>
      <c r="E180" s="175"/>
      <c r="F180" s="122"/>
      <c r="G180" s="122"/>
      <c r="H180" s="122"/>
      <c r="I180" s="122"/>
      <c r="J180" s="173"/>
      <c r="K180" s="181"/>
      <c r="L180" s="181"/>
      <c r="M180" s="181"/>
      <c r="N180" s="181"/>
      <c r="O180" s="181"/>
      <c r="P180" s="181"/>
      <c r="Q180" s="181"/>
      <c r="R180" s="181"/>
      <c r="S180" s="181"/>
      <c r="T180" s="181"/>
      <c r="U180" s="181"/>
      <c r="V180" s="181"/>
      <c r="W180" s="181"/>
      <c r="X180" s="181"/>
      <c r="Y180" s="181"/>
    </row>
    <row r="181" spans="1:25" ht="15.75" hidden="1" customHeight="1" x14ac:dyDescent="0.2">
      <c r="A181" s="181"/>
      <c r="B181" s="174"/>
      <c r="C181" s="175"/>
      <c r="D181" s="175"/>
      <c r="E181" s="175"/>
      <c r="F181" s="122"/>
      <c r="G181" s="122"/>
      <c r="H181" s="122"/>
      <c r="I181" s="122"/>
      <c r="J181" s="173"/>
      <c r="K181" s="181"/>
      <c r="L181" s="181"/>
      <c r="M181" s="181"/>
      <c r="N181" s="181"/>
      <c r="O181" s="181"/>
      <c r="P181" s="181"/>
      <c r="Q181" s="181"/>
      <c r="R181" s="181"/>
      <c r="S181" s="181"/>
      <c r="T181" s="181"/>
      <c r="U181" s="181"/>
      <c r="V181" s="181"/>
      <c r="W181" s="181"/>
      <c r="X181" s="181"/>
      <c r="Y181" s="181"/>
    </row>
    <row r="182" spans="1:25" ht="15.75" hidden="1" customHeight="1" x14ac:dyDescent="0.2">
      <c r="A182" s="181"/>
      <c r="B182" s="174"/>
      <c r="C182" s="175"/>
      <c r="D182" s="175"/>
      <c r="E182" s="175"/>
      <c r="F182" s="122"/>
      <c r="G182" s="122"/>
      <c r="H182" s="122"/>
      <c r="I182" s="122"/>
      <c r="J182" s="173"/>
      <c r="K182" s="181"/>
      <c r="L182" s="181"/>
      <c r="M182" s="181"/>
      <c r="N182" s="181"/>
      <c r="O182" s="181"/>
      <c r="P182" s="181"/>
      <c r="Q182" s="181"/>
      <c r="R182" s="181"/>
      <c r="S182" s="181"/>
      <c r="T182" s="181"/>
      <c r="U182" s="181"/>
      <c r="V182" s="181"/>
      <c r="W182" s="181"/>
      <c r="X182" s="181"/>
      <c r="Y182" s="181"/>
    </row>
    <row r="183" spans="1:25" ht="15.75" hidden="1" customHeight="1" x14ac:dyDescent="0.2">
      <c r="A183" s="181"/>
      <c r="B183" s="174"/>
      <c r="C183" s="175"/>
      <c r="D183" s="175"/>
      <c r="E183" s="175"/>
      <c r="F183" s="122"/>
      <c r="G183" s="122"/>
      <c r="H183" s="122"/>
      <c r="I183" s="122"/>
      <c r="J183" s="173"/>
      <c r="K183" s="181"/>
      <c r="L183" s="181"/>
      <c r="M183" s="181"/>
      <c r="N183" s="181"/>
      <c r="O183" s="181"/>
      <c r="P183" s="181"/>
      <c r="Q183" s="181"/>
      <c r="R183" s="181"/>
      <c r="S183" s="181"/>
      <c r="T183" s="181"/>
      <c r="U183" s="181"/>
      <c r="V183" s="181"/>
      <c r="W183" s="181"/>
      <c r="X183" s="181"/>
      <c r="Y183" s="181"/>
    </row>
    <row r="184" spans="1:25" ht="15.75" hidden="1" customHeight="1" x14ac:dyDescent="0.2">
      <c r="A184" s="181"/>
      <c r="B184" s="174"/>
      <c r="C184" s="175"/>
      <c r="D184" s="175"/>
      <c r="E184" s="175"/>
      <c r="F184" s="122"/>
      <c r="G184" s="122"/>
      <c r="H184" s="122"/>
      <c r="I184" s="122"/>
      <c r="J184" s="173"/>
      <c r="K184" s="181"/>
      <c r="L184" s="181"/>
      <c r="M184" s="181"/>
      <c r="N184" s="181"/>
      <c r="O184" s="181"/>
      <c r="P184" s="181"/>
      <c r="Q184" s="181"/>
      <c r="R184" s="181"/>
      <c r="S184" s="181"/>
      <c r="T184" s="181"/>
      <c r="U184" s="181"/>
      <c r="V184" s="181"/>
      <c r="W184" s="181"/>
      <c r="X184" s="181"/>
      <c r="Y184" s="181"/>
    </row>
    <row r="185" spans="1:25" ht="15.75" hidden="1" customHeight="1" x14ac:dyDescent="0.2">
      <c r="A185" s="181"/>
      <c r="B185" s="174"/>
      <c r="C185" s="175"/>
      <c r="D185" s="175"/>
      <c r="E185" s="175"/>
      <c r="F185" s="122"/>
      <c r="G185" s="122"/>
      <c r="H185" s="122"/>
      <c r="I185" s="122"/>
      <c r="J185" s="173"/>
      <c r="K185" s="181"/>
      <c r="L185" s="181"/>
      <c r="M185" s="181"/>
      <c r="N185" s="181"/>
      <c r="O185" s="181"/>
      <c r="P185" s="181"/>
      <c r="Q185" s="181"/>
      <c r="R185" s="181"/>
      <c r="S185" s="181"/>
      <c r="T185" s="181"/>
      <c r="U185" s="181"/>
      <c r="V185" s="181"/>
      <c r="W185" s="181"/>
      <c r="X185" s="181"/>
      <c r="Y185" s="181"/>
    </row>
    <row r="186" spans="1:25" ht="15.75" hidden="1" customHeight="1" x14ac:dyDescent="0.2">
      <c r="A186" s="181"/>
      <c r="B186" s="174"/>
      <c r="C186" s="175"/>
      <c r="D186" s="175"/>
      <c r="E186" s="175"/>
      <c r="F186" s="122"/>
      <c r="G186" s="122"/>
      <c r="H186" s="122"/>
      <c r="I186" s="122"/>
      <c r="J186" s="173"/>
      <c r="K186" s="181"/>
      <c r="L186" s="181"/>
      <c r="M186" s="181"/>
      <c r="N186" s="181"/>
      <c r="O186" s="181"/>
      <c r="P186" s="181"/>
      <c r="Q186" s="181"/>
      <c r="R186" s="181"/>
      <c r="S186" s="181"/>
      <c r="T186" s="181"/>
      <c r="U186" s="181"/>
      <c r="V186" s="181"/>
      <c r="W186" s="181"/>
      <c r="X186" s="181"/>
      <c r="Y186" s="181"/>
    </row>
    <row r="187" spans="1:25" ht="15.75" hidden="1" customHeight="1" x14ac:dyDescent="0.2">
      <c r="A187" s="181"/>
      <c r="B187" s="174"/>
      <c r="C187" s="175"/>
      <c r="D187" s="175"/>
      <c r="E187" s="175"/>
      <c r="F187" s="122"/>
      <c r="G187" s="122"/>
      <c r="H187" s="122"/>
      <c r="I187" s="122"/>
      <c r="J187" s="173"/>
      <c r="K187" s="181"/>
      <c r="L187" s="181"/>
      <c r="M187" s="181"/>
      <c r="N187" s="181"/>
      <c r="O187" s="181"/>
      <c r="P187" s="181"/>
      <c r="Q187" s="181"/>
      <c r="R187" s="181"/>
      <c r="S187" s="181"/>
      <c r="T187" s="181"/>
      <c r="U187" s="181"/>
      <c r="V187" s="181"/>
      <c r="W187" s="181"/>
      <c r="X187" s="181"/>
      <c r="Y187" s="181"/>
    </row>
    <row r="188" spans="1:25" ht="15.75" hidden="1" customHeight="1" x14ac:dyDescent="0.2">
      <c r="A188" s="181"/>
      <c r="B188" s="174"/>
      <c r="C188" s="175"/>
      <c r="D188" s="175"/>
      <c r="E188" s="175"/>
      <c r="F188" s="122"/>
      <c r="G188" s="122"/>
      <c r="H188" s="122"/>
      <c r="I188" s="122"/>
      <c r="J188" s="173"/>
      <c r="K188" s="181"/>
      <c r="L188" s="181"/>
      <c r="M188" s="181"/>
      <c r="N188" s="181"/>
      <c r="O188" s="181"/>
      <c r="P188" s="181"/>
      <c r="Q188" s="181"/>
      <c r="R188" s="181"/>
      <c r="S188" s="181"/>
      <c r="T188" s="181"/>
      <c r="U188" s="181"/>
      <c r="V188" s="181"/>
      <c r="W188" s="181"/>
      <c r="X188" s="181"/>
      <c r="Y188" s="181"/>
    </row>
    <row r="189" spans="1:25" ht="15.75" hidden="1" customHeight="1" x14ac:dyDescent="0.2">
      <c r="A189" s="181"/>
      <c r="B189" s="174"/>
      <c r="C189" s="175"/>
      <c r="D189" s="175"/>
      <c r="E189" s="175"/>
      <c r="F189" s="122"/>
      <c r="G189" s="122"/>
      <c r="H189" s="122"/>
      <c r="I189" s="122"/>
      <c r="J189" s="173"/>
      <c r="K189" s="181"/>
      <c r="L189" s="181"/>
      <c r="M189" s="181"/>
      <c r="N189" s="181"/>
      <c r="O189" s="181"/>
      <c r="P189" s="181"/>
      <c r="Q189" s="181"/>
      <c r="R189" s="181"/>
      <c r="S189" s="181"/>
      <c r="T189" s="181"/>
      <c r="U189" s="181"/>
      <c r="V189" s="181"/>
      <c r="W189" s="181"/>
      <c r="X189" s="181"/>
      <c r="Y189" s="181"/>
    </row>
    <row r="190" spans="1:25" ht="15.75" hidden="1" customHeight="1" x14ac:dyDescent="0.2">
      <c r="A190" s="181"/>
      <c r="B190" s="174"/>
      <c r="C190" s="175"/>
      <c r="D190" s="175"/>
      <c r="E190" s="175"/>
      <c r="F190" s="122"/>
      <c r="G190" s="122"/>
      <c r="H190" s="122"/>
      <c r="I190" s="122"/>
      <c r="J190" s="173"/>
      <c r="K190" s="181"/>
      <c r="L190" s="181"/>
      <c r="M190" s="181"/>
      <c r="N190" s="181"/>
      <c r="O190" s="181"/>
      <c r="P190" s="181"/>
      <c r="Q190" s="181"/>
      <c r="R190" s="181"/>
      <c r="S190" s="181"/>
      <c r="T190" s="181"/>
      <c r="U190" s="181"/>
      <c r="V190" s="181"/>
      <c r="W190" s="181"/>
      <c r="X190" s="181"/>
      <c r="Y190" s="181"/>
    </row>
    <row r="191" spans="1:25" ht="15.75" hidden="1" customHeight="1" x14ac:dyDescent="0.2">
      <c r="A191" s="181"/>
      <c r="B191" s="174"/>
      <c r="C191" s="175"/>
      <c r="D191" s="175"/>
      <c r="E191" s="175"/>
      <c r="F191" s="122"/>
      <c r="G191" s="122"/>
      <c r="H191" s="122"/>
      <c r="I191" s="122"/>
      <c r="J191" s="173"/>
      <c r="K191" s="181"/>
      <c r="L191" s="181"/>
      <c r="M191" s="181"/>
      <c r="N191" s="181"/>
      <c r="O191" s="181"/>
      <c r="P191" s="181"/>
      <c r="Q191" s="181"/>
      <c r="R191" s="181"/>
      <c r="S191" s="181"/>
      <c r="T191" s="181"/>
      <c r="U191" s="181"/>
      <c r="V191" s="181"/>
      <c r="W191" s="181"/>
      <c r="X191" s="181"/>
      <c r="Y191" s="181"/>
    </row>
    <row r="192" spans="1:25" ht="15.75" hidden="1" customHeight="1" x14ac:dyDescent="0.2">
      <c r="A192" s="181"/>
      <c r="B192" s="174"/>
      <c r="C192" s="175"/>
      <c r="D192" s="175"/>
      <c r="E192" s="175"/>
      <c r="F192" s="122"/>
      <c r="G192" s="122"/>
      <c r="H192" s="122"/>
      <c r="I192" s="122"/>
      <c r="J192" s="173"/>
      <c r="K192" s="181"/>
      <c r="L192" s="181"/>
      <c r="M192" s="181"/>
      <c r="N192" s="181"/>
      <c r="O192" s="181"/>
      <c r="P192" s="181"/>
      <c r="Q192" s="181"/>
      <c r="R192" s="181"/>
      <c r="S192" s="181"/>
      <c r="T192" s="181"/>
      <c r="U192" s="181"/>
      <c r="V192" s="181"/>
      <c r="W192" s="181"/>
      <c r="X192" s="181"/>
      <c r="Y192" s="181"/>
    </row>
    <row r="193" spans="1:25" ht="15.75" hidden="1" customHeight="1" x14ac:dyDescent="0.2">
      <c r="A193" s="181"/>
      <c r="B193" s="174"/>
      <c r="C193" s="175"/>
      <c r="D193" s="175"/>
      <c r="E193" s="175"/>
      <c r="F193" s="122"/>
      <c r="G193" s="122"/>
      <c r="H193" s="122"/>
      <c r="I193" s="122"/>
      <c r="J193" s="173"/>
      <c r="K193" s="181"/>
      <c r="L193" s="181"/>
      <c r="M193" s="181"/>
      <c r="N193" s="181"/>
      <c r="O193" s="181"/>
      <c r="P193" s="181"/>
      <c r="Q193" s="181"/>
      <c r="R193" s="181"/>
      <c r="S193" s="181"/>
      <c r="T193" s="181"/>
      <c r="U193" s="181"/>
      <c r="V193" s="181"/>
      <c r="W193" s="181"/>
      <c r="X193" s="181"/>
      <c r="Y193" s="181"/>
    </row>
    <row r="194" spans="1:25" ht="15.75" hidden="1" customHeight="1" x14ac:dyDescent="0.2">
      <c r="A194" s="181"/>
      <c r="B194" s="174"/>
      <c r="C194" s="175"/>
      <c r="D194" s="175"/>
      <c r="E194" s="175"/>
      <c r="F194" s="122"/>
      <c r="G194" s="122"/>
      <c r="H194" s="122"/>
      <c r="I194" s="122"/>
      <c r="J194" s="173"/>
      <c r="K194" s="181"/>
      <c r="L194" s="181"/>
      <c r="M194" s="181"/>
      <c r="N194" s="181"/>
      <c r="O194" s="181"/>
      <c r="P194" s="181"/>
      <c r="Q194" s="181"/>
      <c r="R194" s="181"/>
      <c r="S194" s="181"/>
      <c r="T194" s="181"/>
      <c r="U194" s="181"/>
      <c r="V194" s="181"/>
      <c r="W194" s="181"/>
      <c r="X194" s="181"/>
      <c r="Y194" s="181"/>
    </row>
    <row r="195" spans="1:25" ht="15.75" hidden="1" customHeight="1" x14ac:dyDescent="0.2">
      <c r="A195" s="181"/>
      <c r="B195" s="174"/>
      <c r="C195" s="175"/>
      <c r="D195" s="175"/>
      <c r="E195" s="175"/>
      <c r="F195" s="122"/>
      <c r="G195" s="122"/>
      <c r="H195" s="122"/>
      <c r="I195" s="122"/>
      <c r="J195" s="173"/>
      <c r="K195" s="181"/>
      <c r="L195" s="181"/>
      <c r="M195" s="181"/>
      <c r="N195" s="181"/>
      <c r="O195" s="181"/>
      <c r="P195" s="181"/>
      <c r="Q195" s="181"/>
      <c r="R195" s="181"/>
      <c r="S195" s="181"/>
      <c r="T195" s="181"/>
      <c r="U195" s="181"/>
      <c r="V195" s="181"/>
      <c r="W195" s="181"/>
      <c r="X195" s="181"/>
      <c r="Y195" s="181"/>
    </row>
    <row r="196" spans="1:25" ht="15.75" hidden="1" customHeight="1" x14ac:dyDescent="0.2">
      <c r="A196" s="181"/>
      <c r="B196" s="174"/>
      <c r="C196" s="175"/>
      <c r="D196" s="175"/>
      <c r="E196" s="175"/>
      <c r="F196" s="122"/>
      <c r="G196" s="122"/>
      <c r="H196" s="122"/>
      <c r="I196" s="122"/>
      <c r="J196" s="173"/>
      <c r="K196" s="181"/>
      <c r="L196" s="181"/>
      <c r="M196" s="181"/>
      <c r="N196" s="181"/>
      <c r="O196" s="181"/>
      <c r="P196" s="181"/>
      <c r="Q196" s="181"/>
      <c r="R196" s="181"/>
      <c r="S196" s="181"/>
      <c r="T196" s="181"/>
      <c r="U196" s="181"/>
      <c r="V196" s="181"/>
      <c r="W196" s="181"/>
      <c r="X196" s="181"/>
      <c r="Y196" s="181"/>
    </row>
    <row r="197" spans="1:25" ht="15.75" hidden="1" customHeight="1" x14ac:dyDescent="0.2">
      <c r="A197" s="181"/>
      <c r="B197" s="174"/>
      <c r="C197" s="175"/>
      <c r="D197" s="175"/>
      <c r="E197" s="175"/>
      <c r="F197" s="122"/>
      <c r="G197" s="122"/>
      <c r="H197" s="122"/>
      <c r="I197" s="122"/>
      <c r="J197" s="173"/>
      <c r="K197" s="181"/>
      <c r="L197" s="181"/>
      <c r="M197" s="181"/>
      <c r="N197" s="181"/>
      <c r="O197" s="181"/>
      <c r="P197" s="181"/>
      <c r="Q197" s="181"/>
      <c r="R197" s="181"/>
      <c r="S197" s="181"/>
      <c r="T197" s="181"/>
      <c r="U197" s="181"/>
      <c r="V197" s="181"/>
      <c r="W197" s="181"/>
      <c r="X197" s="181"/>
      <c r="Y197" s="181"/>
    </row>
    <row r="198" spans="1:25" ht="15.75" hidden="1" customHeight="1" x14ac:dyDescent="0.2">
      <c r="A198" s="181"/>
      <c r="B198" s="174"/>
      <c r="C198" s="175"/>
      <c r="D198" s="175"/>
      <c r="E198" s="175"/>
      <c r="F198" s="122"/>
      <c r="G198" s="122"/>
      <c r="H198" s="122"/>
      <c r="I198" s="122"/>
      <c r="J198" s="173"/>
      <c r="K198" s="181"/>
      <c r="L198" s="181"/>
      <c r="M198" s="181"/>
      <c r="N198" s="181"/>
      <c r="O198" s="181"/>
      <c r="P198" s="181"/>
      <c r="Q198" s="181"/>
      <c r="R198" s="181"/>
      <c r="S198" s="181"/>
      <c r="T198" s="181"/>
      <c r="U198" s="181"/>
      <c r="V198" s="181"/>
      <c r="W198" s="181"/>
      <c r="X198" s="181"/>
      <c r="Y198" s="181"/>
    </row>
    <row r="199" spans="1:25" ht="15.75" hidden="1" customHeight="1" x14ac:dyDescent="0.2">
      <c r="A199" s="181"/>
      <c r="B199" s="174"/>
      <c r="C199" s="175"/>
      <c r="D199" s="175"/>
      <c r="E199" s="175"/>
      <c r="F199" s="122"/>
      <c r="G199" s="122"/>
      <c r="H199" s="122"/>
      <c r="I199" s="122"/>
      <c r="J199" s="173"/>
      <c r="K199" s="181"/>
      <c r="L199" s="181"/>
      <c r="M199" s="181"/>
      <c r="N199" s="181"/>
      <c r="O199" s="181"/>
      <c r="P199" s="181"/>
      <c r="Q199" s="181"/>
      <c r="R199" s="181"/>
      <c r="S199" s="181"/>
      <c r="T199" s="181"/>
      <c r="U199" s="181"/>
      <c r="V199" s="181"/>
      <c r="W199" s="181"/>
      <c r="X199" s="181"/>
      <c r="Y199" s="181"/>
    </row>
    <row r="200" spans="1:25" ht="15.75" hidden="1" customHeight="1" x14ac:dyDescent="0.2">
      <c r="A200" s="181"/>
      <c r="B200" s="174"/>
      <c r="C200" s="175"/>
      <c r="D200" s="175"/>
      <c r="E200" s="175"/>
      <c r="F200" s="122"/>
      <c r="G200" s="122"/>
      <c r="H200" s="122"/>
      <c r="I200" s="122"/>
      <c r="J200" s="173"/>
      <c r="K200" s="181"/>
      <c r="L200" s="181"/>
      <c r="M200" s="181"/>
      <c r="N200" s="181"/>
      <c r="O200" s="181"/>
      <c r="P200" s="181"/>
      <c r="Q200" s="181"/>
      <c r="R200" s="181"/>
      <c r="S200" s="181"/>
      <c r="T200" s="181"/>
      <c r="U200" s="181"/>
      <c r="V200" s="181"/>
      <c r="W200" s="181"/>
      <c r="X200" s="181"/>
      <c r="Y200" s="181"/>
    </row>
    <row r="201" spans="1:25" ht="15.75" hidden="1" customHeight="1" x14ac:dyDescent="0.2">
      <c r="A201" s="181"/>
      <c r="B201" s="174"/>
      <c r="C201" s="175"/>
      <c r="D201" s="175"/>
      <c r="E201" s="175"/>
      <c r="F201" s="122"/>
      <c r="G201" s="122"/>
      <c r="H201" s="122"/>
      <c r="I201" s="122"/>
      <c r="J201" s="173"/>
      <c r="K201" s="181"/>
      <c r="L201" s="181"/>
      <c r="M201" s="181"/>
      <c r="N201" s="181"/>
      <c r="O201" s="181"/>
      <c r="P201" s="181"/>
      <c r="Q201" s="181"/>
      <c r="R201" s="181"/>
      <c r="S201" s="181"/>
      <c r="T201" s="181"/>
      <c r="U201" s="181"/>
      <c r="V201" s="181"/>
      <c r="W201" s="181"/>
      <c r="X201" s="181"/>
      <c r="Y201" s="181"/>
    </row>
    <row r="202" spans="1:25" ht="15.75" hidden="1" customHeight="1" x14ac:dyDescent="0.2">
      <c r="A202" s="181"/>
      <c r="B202" s="174"/>
      <c r="C202" s="175"/>
      <c r="D202" s="175"/>
      <c r="E202" s="175"/>
      <c r="F202" s="122"/>
      <c r="G202" s="122"/>
      <c r="H202" s="122"/>
      <c r="I202" s="122"/>
      <c r="J202" s="173"/>
      <c r="K202" s="181"/>
      <c r="L202" s="181"/>
      <c r="M202" s="181"/>
      <c r="N202" s="181"/>
      <c r="O202" s="181"/>
      <c r="P202" s="181"/>
      <c r="Q202" s="181"/>
      <c r="R202" s="181"/>
      <c r="S202" s="181"/>
      <c r="T202" s="181"/>
      <c r="U202" s="181"/>
      <c r="V202" s="181"/>
      <c r="W202" s="181"/>
      <c r="X202" s="181"/>
      <c r="Y202" s="181"/>
    </row>
    <row r="203" spans="1:25" ht="15.75" hidden="1" customHeight="1" x14ac:dyDescent="0.2">
      <c r="A203" s="181"/>
      <c r="B203" s="174"/>
      <c r="C203" s="175"/>
      <c r="D203" s="175"/>
      <c r="E203" s="175"/>
      <c r="F203" s="122"/>
      <c r="G203" s="122"/>
      <c r="H203" s="122"/>
      <c r="I203" s="122"/>
      <c r="J203" s="173"/>
      <c r="K203" s="181"/>
      <c r="L203" s="181"/>
      <c r="M203" s="181"/>
      <c r="N203" s="181"/>
      <c r="O203" s="181"/>
      <c r="P203" s="181"/>
      <c r="Q203" s="181"/>
      <c r="R203" s="181"/>
      <c r="S203" s="181"/>
      <c r="T203" s="181"/>
      <c r="U203" s="181"/>
      <c r="V203" s="181"/>
      <c r="W203" s="181"/>
      <c r="X203" s="181"/>
      <c r="Y203" s="181"/>
    </row>
    <row r="204" spans="1:25" ht="15.75" hidden="1" customHeight="1" x14ac:dyDescent="0.2">
      <c r="A204" s="181"/>
      <c r="B204" s="174"/>
      <c r="C204" s="175"/>
      <c r="D204" s="175"/>
      <c r="E204" s="175"/>
      <c r="F204" s="122"/>
      <c r="G204" s="122"/>
      <c r="H204" s="122"/>
      <c r="I204" s="122"/>
      <c r="J204" s="173"/>
      <c r="K204" s="181"/>
      <c r="L204" s="181"/>
      <c r="M204" s="181"/>
      <c r="N204" s="181"/>
      <c r="O204" s="181"/>
      <c r="P204" s="181"/>
      <c r="Q204" s="181"/>
      <c r="R204" s="181"/>
      <c r="S204" s="181"/>
      <c r="T204" s="181"/>
      <c r="U204" s="181"/>
      <c r="V204" s="181"/>
      <c r="W204" s="181"/>
      <c r="X204" s="181"/>
      <c r="Y204" s="181"/>
    </row>
    <row r="205" spans="1:25" ht="15.75" hidden="1" customHeight="1" x14ac:dyDescent="0.2">
      <c r="A205" s="181"/>
      <c r="B205" s="174"/>
      <c r="C205" s="175"/>
      <c r="D205" s="175"/>
      <c r="E205" s="175"/>
      <c r="F205" s="122"/>
      <c r="G205" s="122"/>
      <c r="H205" s="122"/>
      <c r="I205" s="122"/>
      <c r="J205" s="173"/>
      <c r="K205" s="181"/>
      <c r="L205" s="181"/>
      <c r="M205" s="181"/>
      <c r="N205" s="181"/>
      <c r="O205" s="181"/>
      <c r="P205" s="181"/>
      <c r="Q205" s="181"/>
      <c r="R205" s="181"/>
      <c r="S205" s="181"/>
      <c r="T205" s="181"/>
      <c r="U205" s="181"/>
      <c r="V205" s="181"/>
      <c r="W205" s="181"/>
      <c r="X205" s="181"/>
      <c r="Y205" s="181"/>
    </row>
    <row r="206" spans="1:25" ht="15.75" hidden="1" customHeight="1" x14ac:dyDescent="0.2">
      <c r="A206" s="181"/>
      <c r="B206" s="174"/>
      <c r="C206" s="175"/>
      <c r="D206" s="175"/>
      <c r="E206" s="175"/>
      <c r="F206" s="122"/>
      <c r="G206" s="122"/>
      <c r="H206" s="122"/>
      <c r="I206" s="122"/>
      <c r="J206" s="173"/>
      <c r="K206" s="181"/>
      <c r="L206" s="181"/>
      <c r="M206" s="181"/>
      <c r="N206" s="181"/>
      <c r="O206" s="181"/>
      <c r="P206" s="181"/>
      <c r="Q206" s="181"/>
      <c r="R206" s="181"/>
      <c r="S206" s="181"/>
      <c r="T206" s="181"/>
      <c r="U206" s="181"/>
      <c r="V206" s="181"/>
      <c r="W206" s="181"/>
      <c r="X206" s="181"/>
      <c r="Y206" s="181"/>
    </row>
    <row r="207" spans="1:25" ht="15.75" hidden="1" customHeight="1" x14ac:dyDescent="0.2">
      <c r="A207" s="181"/>
      <c r="B207" s="174"/>
      <c r="C207" s="175"/>
      <c r="D207" s="175"/>
      <c r="E207" s="175"/>
      <c r="F207" s="122"/>
      <c r="G207" s="122"/>
      <c r="H207" s="122"/>
      <c r="I207" s="122"/>
      <c r="J207" s="173"/>
      <c r="K207" s="181"/>
      <c r="L207" s="181"/>
      <c r="M207" s="181"/>
      <c r="N207" s="181"/>
      <c r="O207" s="181"/>
      <c r="P207" s="181"/>
      <c r="Q207" s="181"/>
      <c r="R207" s="181"/>
      <c r="S207" s="181"/>
      <c r="T207" s="181"/>
      <c r="U207" s="181"/>
      <c r="V207" s="181"/>
      <c r="W207" s="181"/>
      <c r="X207" s="181"/>
      <c r="Y207" s="181"/>
    </row>
    <row r="208" spans="1:25" ht="15.75" hidden="1" customHeight="1" x14ac:dyDescent="0.2">
      <c r="A208" s="181"/>
      <c r="B208" s="174"/>
      <c r="C208" s="175"/>
      <c r="D208" s="175"/>
      <c r="E208" s="175"/>
      <c r="F208" s="122"/>
      <c r="G208" s="122"/>
      <c r="H208" s="122"/>
      <c r="I208" s="122"/>
      <c r="J208" s="173"/>
      <c r="K208" s="181"/>
      <c r="L208" s="181"/>
      <c r="M208" s="181"/>
      <c r="N208" s="181"/>
      <c r="O208" s="181"/>
      <c r="P208" s="181"/>
      <c r="Q208" s="181"/>
      <c r="R208" s="181"/>
      <c r="S208" s="181"/>
      <c r="T208" s="181"/>
      <c r="U208" s="181"/>
      <c r="V208" s="181"/>
      <c r="W208" s="181"/>
      <c r="X208" s="181"/>
      <c r="Y208" s="181"/>
    </row>
    <row r="209" spans="1:25" ht="15.75" hidden="1" customHeight="1" x14ac:dyDescent="0.2">
      <c r="A209" s="181"/>
      <c r="B209" s="174"/>
      <c r="C209" s="175"/>
      <c r="D209" s="175"/>
      <c r="E209" s="175"/>
      <c r="F209" s="122"/>
      <c r="G209" s="122"/>
      <c r="H209" s="122"/>
      <c r="I209" s="122"/>
      <c r="J209" s="173"/>
      <c r="K209" s="181"/>
      <c r="L209" s="181"/>
      <c r="M209" s="181"/>
      <c r="N209" s="181"/>
      <c r="O209" s="181"/>
      <c r="P209" s="181"/>
      <c r="Q209" s="181"/>
      <c r="R209" s="181"/>
      <c r="S209" s="181"/>
      <c r="T209" s="181"/>
      <c r="U209" s="181"/>
      <c r="V209" s="181"/>
      <c r="W209" s="181"/>
      <c r="X209" s="181"/>
      <c r="Y209" s="181"/>
    </row>
    <row r="210" spans="1:25" ht="15.75" hidden="1" customHeight="1" x14ac:dyDescent="0.2">
      <c r="A210" s="181"/>
      <c r="B210" s="174"/>
      <c r="C210" s="175"/>
      <c r="D210" s="175"/>
      <c r="E210" s="175"/>
      <c r="F210" s="122"/>
      <c r="G210" s="122"/>
      <c r="H210" s="122"/>
      <c r="I210" s="122"/>
      <c r="J210" s="173"/>
      <c r="K210" s="181"/>
      <c r="L210" s="181"/>
      <c r="M210" s="181"/>
      <c r="N210" s="181"/>
      <c r="O210" s="181"/>
      <c r="P210" s="181"/>
      <c r="Q210" s="181"/>
      <c r="R210" s="181"/>
      <c r="S210" s="181"/>
      <c r="T210" s="181"/>
      <c r="U210" s="181"/>
      <c r="V210" s="181"/>
      <c r="W210" s="181"/>
      <c r="X210" s="181"/>
      <c r="Y210" s="181"/>
    </row>
    <row r="211" spans="1:25" ht="15.75" hidden="1" customHeight="1" x14ac:dyDescent="0.2">
      <c r="A211" s="181"/>
      <c r="B211" s="174"/>
      <c r="C211" s="175"/>
      <c r="D211" s="175"/>
      <c r="E211" s="175"/>
      <c r="F211" s="122"/>
      <c r="G211" s="122"/>
      <c r="H211" s="122"/>
      <c r="I211" s="122"/>
      <c r="J211" s="173"/>
      <c r="K211" s="181"/>
      <c r="L211" s="181"/>
      <c r="M211" s="181"/>
      <c r="N211" s="181"/>
      <c r="O211" s="181"/>
      <c r="P211" s="181"/>
      <c r="Q211" s="181"/>
      <c r="R211" s="181"/>
      <c r="S211" s="181"/>
      <c r="T211" s="181"/>
      <c r="U211" s="181"/>
      <c r="V211" s="181"/>
      <c r="W211" s="181"/>
      <c r="X211" s="181"/>
      <c r="Y211" s="181"/>
    </row>
    <row r="212" spans="1:25" ht="15.75" hidden="1" customHeight="1" x14ac:dyDescent="0.2">
      <c r="A212" s="181"/>
      <c r="B212" s="174"/>
      <c r="C212" s="175"/>
      <c r="D212" s="175"/>
      <c r="E212" s="175"/>
      <c r="F212" s="122"/>
      <c r="G212" s="122"/>
      <c r="H212" s="122"/>
      <c r="I212" s="122"/>
      <c r="J212" s="173"/>
      <c r="K212" s="181"/>
      <c r="L212" s="181"/>
      <c r="M212" s="181"/>
      <c r="N212" s="181"/>
      <c r="O212" s="181"/>
      <c r="P212" s="181"/>
      <c r="Q212" s="181"/>
      <c r="R212" s="181"/>
      <c r="S212" s="181"/>
      <c r="T212" s="181"/>
      <c r="U212" s="181"/>
      <c r="V212" s="181"/>
      <c r="W212" s="181"/>
      <c r="X212" s="181"/>
      <c r="Y212" s="181"/>
    </row>
    <row r="213" spans="1:25" ht="15.75" hidden="1" customHeight="1" x14ac:dyDescent="0.2">
      <c r="A213" s="181"/>
      <c r="B213" s="174"/>
      <c r="C213" s="175"/>
      <c r="D213" s="175"/>
      <c r="E213" s="175"/>
      <c r="F213" s="122"/>
      <c r="G213" s="122"/>
      <c r="H213" s="122"/>
      <c r="I213" s="122"/>
      <c r="J213" s="173"/>
      <c r="K213" s="181"/>
      <c r="L213" s="181"/>
      <c r="M213" s="181"/>
      <c r="N213" s="181"/>
      <c r="O213" s="181"/>
      <c r="P213" s="181"/>
      <c r="Q213" s="181"/>
      <c r="R213" s="181"/>
      <c r="S213" s="181"/>
      <c r="T213" s="181"/>
      <c r="U213" s="181"/>
      <c r="V213" s="181"/>
      <c r="W213" s="181"/>
      <c r="X213" s="181"/>
      <c r="Y213" s="181"/>
    </row>
    <row r="214" spans="1:25" ht="15.75" hidden="1" customHeight="1" x14ac:dyDescent="0.2">
      <c r="A214" s="181"/>
      <c r="B214" s="174"/>
      <c r="C214" s="175"/>
      <c r="D214" s="175"/>
      <c r="E214" s="175"/>
      <c r="F214" s="122"/>
      <c r="G214" s="122"/>
      <c r="H214" s="122"/>
      <c r="I214" s="122"/>
      <c r="J214" s="173"/>
      <c r="K214" s="181"/>
      <c r="L214" s="181"/>
      <c r="M214" s="181"/>
      <c r="N214" s="181"/>
      <c r="O214" s="181"/>
      <c r="P214" s="181"/>
      <c r="Q214" s="181"/>
      <c r="R214" s="181"/>
      <c r="S214" s="181"/>
      <c r="T214" s="181"/>
      <c r="U214" s="181"/>
      <c r="V214" s="181"/>
      <c r="W214" s="181"/>
      <c r="X214" s="181"/>
      <c r="Y214" s="181"/>
    </row>
    <row r="215" spans="1:25" ht="15.75" hidden="1" customHeight="1" x14ac:dyDescent="0.2">
      <c r="A215" s="181"/>
      <c r="B215" s="174"/>
      <c r="C215" s="175"/>
      <c r="D215" s="175"/>
      <c r="E215" s="175"/>
      <c r="F215" s="122"/>
      <c r="G215" s="122"/>
      <c r="H215" s="122"/>
      <c r="I215" s="122"/>
      <c r="J215" s="173"/>
      <c r="K215" s="181"/>
      <c r="L215" s="181"/>
      <c r="M215" s="181"/>
      <c r="N215" s="181"/>
      <c r="O215" s="181"/>
      <c r="P215" s="181"/>
      <c r="Q215" s="181"/>
      <c r="R215" s="181"/>
      <c r="S215" s="181"/>
      <c r="T215" s="181"/>
      <c r="U215" s="181"/>
      <c r="V215" s="181"/>
      <c r="W215" s="181"/>
      <c r="X215" s="181"/>
      <c r="Y215" s="181"/>
    </row>
    <row r="216" spans="1:25" ht="15.75" hidden="1" customHeight="1" x14ac:dyDescent="0.2">
      <c r="A216" s="181"/>
      <c r="B216" s="174"/>
      <c r="C216" s="175"/>
      <c r="D216" s="175"/>
      <c r="E216" s="175"/>
      <c r="F216" s="122"/>
      <c r="G216" s="122"/>
      <c r="H216" s="122"/>
      <c r="I216" s="122"/>
      <c r="J216" s="173"/>
      <c r="K216" s="181"/>
      <c r="L216" s="181"/>
      <c r="M216" s="181"/>
      <c r="N216" s="181"/>
      <c r="O216" s="181"/>
      <c r="P216" s="181"/>
      <c r="Q216" s="181"/>
      <c r="R216" s="181"/>
      <c r="S216" s="181"/>
      <c r="T216" s="181"/>
      <c r="U216" s="181"/>
      <c r="V216" s="181"/>
      <c r="W216" s="181"/>
      <c r="X216" s="181"/>
      <c r="Y216" s="181"/>
    </row>
    <row r="217" spans="1:25" ht="15.75" hidden="1" customHeight="1" x14ac:dyDescent="0.2">
      <c r="A217" s="181"/>
      <c r="B217" s="174"/>
      <c r="C217" s="175"/>
      <c r="D217" s="175"/>
      <c r="E217" s="175"/>
      <c r="F217" s="122"/>
      <c r="G217" s="122"/>
      <c r="H217" s="122"/>
      <c r="I217" s="122"/>
      <c r="J217" s="173"/>
      <c r="K217" s="181"/>
      <c r="L217" s="181"/>
      <c r="M217" s="181"/>
      <c r="N217" s="181"/>
      <c r="O217" s="181"/>
      <c r="P217" s="181"/>
      <c r="Q217" s="181"/>
      <c r="R217" s="181"/>
      <c r="S217" s="181"/>
      <c r="T217" s="181"/>
      <c r="U217" s="181"/>
      <c r="V217" s="181"/>
      <c r="W217" s="181"/>
      <c r="X217" s="181"/>
      <c r="Y217" s="181"/>
    </row>
    <row r="218" spans="1:25" ht="15.75" hidden="1" customHeight="1" x14ac:dyDescent="0.2">
      <c r="A218" s="181"/>
      <c r="B218" s="174"/>
      <c r="C218" s="175"/>
      <c r="D218" s="175"/>
      <c r="E218" s="175"/>
      <c r="F218" s="122"/>
      <c r="G218" s="122"/>
      <c r="H218" s="122"/>
      <c r="I218" s="122"/>
      <c r="J218" s="173"/>
      <c r="K218" s="181"/>
      <c r="L218" s="181"/>
      <c r="M218" s="181"/>
      <c r="N218" s="181"/>
      <c r="O218" s="181"/>
      <c r="P218" s="181"/>
      <c r="Q218" s="181"/>
      <c r="R218" s="181"/>
      <c r="S218" s="181"/>
      <c r="T218" s="181"/>
      <c r="U218" s="181"/>
      <c r="V218" s="181"/>
      <c r="W218" s="181"/>
      <c r="X218" s="181"/>
      <c r="Y218" s="181"/>
    </row>
    <row r="219" spans="1:25" ht="15.75" hidden="1" customHeight="1" x14ac:dyDescent="0.2">
      <c r="A219" s="181"/>
      <c r="B219" s="174"/>
      <c r="C219" s="175"/>
      <c r="D219" s="175"/>
      <c r="E219" s="175"/>
      <c r="F219" s="122"/>
      <c r="G219" s="122"/>
      <c r="H219" s="122"/>
      <c r="I219" s="122"/>
      <c r="J219" s="173"/>
      <c r="K219" s="181"/>
      <c r="L219" s="181"/>
      <c r="M219" s="181"/>
      <c r="N219" s="181"/>
      <c r="O219" s="181"/>
      <c r="P219" s="181"/>
      <c r="Q219" s="181"/>
      <c r="R219" s="181"/>
      <c r="S219" s="181"/>
      <c r="T219" s="181"/>
      <c r="U219" s="181"/>
      <c r="V219" s="181"/>
      <c r="W219" s="181"/>
      <c r="X219" s="181"/>
      <c r="Y219" s="181"/>
    </row>
    <row r="220" spans="1:25" ht="15.75" hidden="1" customHeight="1" x14ac:dyDescent="0.2">
      <c r="A220" s="181"/>
      <c r="B220" s="174"/>
      <c r="C220" s="175"/>
      <c r="D220" s="175"/>
      <c r="E220" s="175"/>
      <c r="F220" s="122"/>
      <c r="G220" s="122"/>
      <c r="H220" s="122"/>
      <c r="I220" s="122"/>
      <c r="J220" s="173"/>
      <c r="K220" s="181"/>
      <c r="L220" s="181"/>
      <c r="M220" s="181"/>
      <c r="N220" s="181"/>
      <c r="O220" s="181"/>
      <c r="P220" s="181"/>
      <c r="Q220" s="181"/>
      <c r="R220" s="181"/>
      <c r="S220" s="181"/>
      <c r="T220" s="181"/>
      <c r="U220" s="181"/>
      <c r="V220" s="181"/>
      <c r="W220" s="181"/>
      <c r="X220" s="181"/>
      <c r="Y220" s="181"/>
    </row>
    <row r="221" spans="1:25" ht="15.75" hidden="1" customHeight="1" x14ac:dyDescent="0.2">
      <c r="A221" s="181"/>
      <c r="B221" s="174"/>
      <c r="C221" s="175"/>
      <c r="D221" s="175"/>
      <c r="E221" s="175"/>
      <c r="F221" s="122"/>
      <c r="G221" s="122"/>
      <c r="H221" s="122"/>
      <c r="I221" s="122"/>
      <c r="J221" s="173"/>
      <c r="K221" s="181"/>
      <c r="L221" s="181"/>
      <c r="M221" s="181"/>
      <c r="N221" s="181"/>
      <c r="O221" s="181"/>
      <c r="P221" s="181"/>
      <c r="Q221" s="181"/>
      <c r="R221" s="181"/>
      <c r="S221" s="181"/>
      <c r="T221" s="181"/>
      <c r="U221" s="181"/>
      <c r="V221" s="181"/>
      <c r="W221" s="181"/>
      <c r="X221" s="181"/>
      <c r="Y221" s="181"/>
    </row>
    <row r="222" spans="1:25" ht="15.75" hidden="1" customHeight="1" x14ac:dyDescent="0.2">
      <c r="A222" s="181"/>
      <c r="B222" s="174"/>
      <c r="C222" s="175"/>
      <c r="D222" s="175"/>
      <c r="E222" s="175"/>
      <c r="F222" s="122"/>
      <c r="G222" s="122"/>
      <c r="H222" s="122"/>
      <c r="I222" s="122"/>
      <c r="J222" s="173"/>
      <c r="K222" s="181"/>
      <c r="L222" s="181"/>
      <c r="M222" s="181"/>
      <c r="N222" s="181"/>
      <c r="O222" s="181"/>
      <c r="P222" s="181"/>
      <c r="Q222" s="181"/>
      <c r="R222" s="181"/>
      <c r="S222" s="181"/>
      <c r="T222" s="181"/>
      <c r="U222" s="181"/>
      <c r="V222" s="181"/>
      <c r="W222" s="181"/>
      <c r="X222" s="181"/>
      <c r="Y222" s="181"/>
    </row>
    <row r="223" spans="1:25" ht="15.75" hidden="1" customHeight="1" x14ac:dyDescent="0.2">
      <c r="A223" s="181"/>
      <c r="B223" s="174"/>
      <c r="C223" s="175"/>
      <c r="D223" s="175"/>
      <c r="E223" s="175"/>
      <c r="F223" s="122"/>
      <c r="G223" s="122"/>
      <c r="H223" s="122"/>
      <c r="I223" s="122"/>
      <c r="J223" s="173"/>
      <c r="K223" s="181"/>
      <c r="L223" s="181"/>
      <c r="M223" s="181"/>
      <c r="N223" s="181"/>
      <c r="O223" s="181"/>
      <c r="P223" s="181"/>
      <c r="Q223" s="181"/>
      <c r="R223" s="181"/>
      <c r="S223" s="181"/>
      <c r="T223" s="181"/>
      <c r="U223" s="181"/>
      <c r="V223" s="181"/>
      <c r="W223" s="181"/>
      <c r="X223" s="181"/>
      <c r="Y223" s="181"/>
    </row>
    <row r="224" spans="1:25" ht="15.75" hidden="1" customHeight="1" x14ac:dyDescent="0.2">
      <c r="A224" s="181"/>
      <c r="B224" s="174"/>
      <c r="C224" s="175"/>
      <c r="D224" s="175"/>
      <c r="E224" s="175"/>
      <c r="F224" s="122"/>
      <c r="G224" s="122"/>
      <c r="H224" s="122"/>
      <c r="I224" s="122"/>
      <c r="J224" s="173"/>
      <c r="K224" s="181"/>
      <c r="L224" s="181"/>
      <c r="M224" s="181"/>
      <c r="N224" s="181"/>
      <c r="O224" s="181"/>
      <c r="P224" s="181"/>
      <c r="Q224" s="181"/>
      <c r="R224" s="181"/>
      <c r="S224" s="181"/>
      <c r="T224" s="181"/>
      <c r="U224" s="181"/>
      <c r="V224" s="181"/>
      <c r="W224" s="181"/>
      <c r="X224" s="181"/>
      <c r="Y224" s="181"/>
    </row>
    <row r="225" spans="1:25" ht="15.75" hidden="1" customHeight="1" x14ac:dyDescent="0.2">
      <c r="A225" s="181"/>
      <c r="B225" s="174"/>
      <c r="C225" s="175"/>
      <c r="D225" s="175"/>
      <c r="E225" s="175"/>
      <c r="F225" s="122"/>
      <c r="G225" s="122"/>
      <c r="H225" s="122"/>
      <c r="I225" s="122"/>
      <c r="J225" s="173"/>
      <c r="K225" s="181"/>
      <c r="L225" s="181"/>
      <c r="M225" s="181"/>
      <c r="N225" s="181"/>
      <c r="O225" s="181"/>
      <c r="P225" s="181"/>
      <c r="Q225" s="181"/>
      <c r="R225" s="181"/>
      <c r="S225" s="181"/>
      <c r="T225" s="181"/>
      <c r="U225" s="181"/>
      <c r="V225" s="181"/>
      <c r="W225" s="181"/>
      <c r="X225" s="181"/>
      <c r="Y225" s="181"/>
    </row>
    <row r="226" spans="1:25" ht="15.75" hidden="1" customHeight="1" x14ac:dyDescent="0.2">
      <c r="A226" s="181"/>
      <c r="B226" s="174"/>
      <c r="C226" s="175"/>
      <c r="D226" s="175"/>
      <c r="E226" s="175"/>
      <c r="F226" s="122"/>
      <c r="G226" s="122"/>
      <c r="H226" s="122"/>
      <c r="I226" s="122"/>
      <c r="J226" s="173"/>
      <c r="K226" s="181"/>
      <c r="L226" s="181"/>
      <c r="M226" s="181"/>
      <c r="N226" s="181"/>
      <c r="O226" s="181"/>
      <c r="P226" s="181"/>
      <c r="Q226" s="181"/>
      <c r="R226" s="181"/>
      <c r="S226" s="181"/>
      <c r="T226" s="181"/>
      <c r="U226" s="181"/>
      <c r="V226" s="181"/>
      <c r="W226" s="181"/>
      <c r="X226" s="181"/>
      <c r="Y226" s="181"/>
    </row>
    <row r="227" spans="1:25" ht="15.75" hidden="1" customHeight="1" x14ac:dyDescent="0.2">
      <c r="A227" s="181"/>
      <c r="B227" s="174"/>
      <c r="C227" s="175"/>
      <c r="D227" s="175"/>
      <c r="E227" s="175"/>
      <c r="F227" s="122"/>
      <c r="G227" s="122"/>
      <c r="H227" s="122"/>
      <c r="I227" s="122"/>
      <c r="J227" s="173"/>
      <c r="K227" s="181"/>
      <c r="L227" s="181"/>
      <c r="M227" s="181"/>
      <c r="N227" s="181"/>
      <c r="O227" s="181"/>
      <c r="P227" s="181"/>
      <c r="Q227" s="181"/>
      <c r="R227" s="181"/>
      <c r="S227" s="181"/>
      <c r="T227" s="181"/>
      <c r="U227" s="181"/>
      <c r="V227" s="181"/>
      <c r="W227" s="181"/>
      <c r="X227" s="181"/>
      <c r="Y227" s="181"/>
    </row>
    <row r="228" spans="1:25" ht="15.75" hidden="1" customHeight="1" x14ac:dyDescent="0.2">
      <c r="A228" s="181"/>
      <c r="B228" s="174"/>
      <c r="C228" s="175"/>
      <c r="D228" s="175"/>
      <c r="E228" s="175"/>
      <c r="F228" s="122"/>
      <c r="G228" s="122"/>
      <c r="H228" s="122"/>
      <c r="I228" s="122"/>
      <c r="J228" s="173"/>
      <c r="K228" s="181"/>
      <c r="L228" s="181"/>
      <c r="M228" s="181"/>
      <c r="N228" s="181"/>
      <c r="O228" s="181"/>
      <c r="P228" s="181"/>
      <c r="Q228" s="181"/>
      <c r="R228" s="181"/>
      <c r="S228" s="181"/>
      <c r="T228" s="181"/>
      <c r="U228" s="181"/>
      <c r="V228" s="181"/>
      <c r="W228" s="181"/>
      <c r="X228" s="181"/>
      <c r="Y228" s="181"/>
    </row>
    <row r="229" spans="1:25" ht="15.75" hidden="1" customHeight="1" x14ac:dyDescent="0.2">
      <c r="A229" s="181"/>
      <c r="B229" s="174"/>
      <c r="C229" s="175"/>
      <c r="D229" s="175"/>
      <c r="E229" s="175"/>
      <c r="F229" s="122"/>
      <c r="G229" s="122"/>
      <c r="H229" s="122"/>
      <c r="I229" s="122"/>
      <c r="J229" s="173"/>
      <c r="K229" s="181"/>
      <c r="L229" s="181"/>
      <c r="M229" s="181"/>
      <c r="N229" s="181"/>
      <c r="O229" s="181"/>
      <c r="P229" s="181"/>
      <c r="Q229" s="181"/>
      <c r="R229" s="181"/>
      <c r="S229" s="181"/>
      <c r="T229" s="181"/>
      <c r="U229" s="181"/>
      <c r="V229" s="181"/>
      <c r="W229" s="181"/>
      <c r="X229" s="181"/>
      <c r="Y229" s="181"/>
    </row>
    <row r="230" spans="1:25" ht="15.75" hidden="1" customHeight="1" x14ac:dyDescent="0.2">
      <c r="A230" s="181"/>
      <c r="B230" s="174"/>
      <c r="C230" s="175"/>
      <c r="D230" s="175"/>
      <c r="E230" s="175"/>
      <c r="F230" s="122"/>
      <c r="G230" s="122"/>
      <c r="H230" s="122"/>
      <c r="I230" s="122"/>
      <c r="J230" s="173"/>
      <c r="K230" s="181"/>
      <c r="L230" s="181"/>
      <c r="M230" s="181"/>
      <c r="N230" s="181"/>
      <c r="O230" s="181"/>
      <c r="P230" s="181"/>
      <c r="Q230" s="181"/>
      <c r="R230" s="181"/>
      <c r="S230" s="181"/>
      <c r="T230" s="181"/>
      <c r="U230" s="181"/>
      <c r="V230" s="181"/>
      <c r="W230" s="181"/>
      <c r="X230" s="181"/>
      <c r="Y230" s="181"/>
    </row>
    <row r="231" spans="1:25" ht="15.75" hidden="1" customHeight="1" x14ac:dyDescent="0.2">
      <c r="A231" s="181"/>
      <c r="B231" s="174"/>
      <c r="C231" s="175"/>
      <c r="D231" s="175"/>
      <c r="E231" s="175"/>
      <c r="F231" s="122"/>
      <c r="G231" s="122"/>
      <c r="H231" s="122"/>
      <c r="I231" s="122"/>
      <c r="J231" s="173"/>
      <c r="K231" s="181"/>
      <c r="L231" s="181"/>
      <c r="M231" s="181"/>
      <c r="N231" s="181"/>
      <c r="O231" s="181"/>
      <c r="P231" s="181"/>
      <c r="Q231" s="181"/>
      <c r="R231" s="181"/>
      <c r="S231" s="181"/>
      <c r="T231" s="181"/>
      <c r="U231" s="181"/>
      <c r="V231" s="181"/>
      <c r="W231" s="181"/>
      <c r="X231" s="181"/>
      <c r="Y231" s="181"/>
    </row>
    <row r="232" spans="1:25" ht="15.75" hidden="1" customHeight="1" x14ac:dyDescent="0.2">
      <c r="A232" s="181"/>
      <c r="B232" s="174"/>
      <c r="C232" s="175"/>
      <c r="D232" s="175"/>
      <c r="E232" s="175"/>
      <c r="F232" s="122"/>
      <c r="G232" s="122"/>
      <c r="H232" s="122"/>
      <c r="I232" s="122"/>
      <c r="J232" s="173"/>
      <c r="K232" s="181"/>
      <c r="L232" s="181"/>
      <c r="M232" s="181"/>
      <c r="N232" s="181"/>
      <c r="O232" s="181"/>
      <c r="P232" s="181"/>
      <c r="Q232" s="181"/>
      <c r="R232" s="181"/>
      <c r="S232" s="181"/>
      <c r="T232" s="181"/>
      <c r="U232" s="181"/>
      <c r="V232" s="181"/>
      <c r="W232" s="181"/>
      <c r="X232" s="181"/>
      <c r="Y232" s="181"/>
    </row>
    <row r="233" spans="1:25" ht="15.75" hidden="1" customHeight="1" x14ac:dyDescent="0.2">
      <c r="A233" s="181"/>
      <c r="B233" s="174"/>
      <c r="C233" s="175"/>
      <c r="D233" s="175"/>
      <c r="E233" s="175"/>
      <c r="F233" s="122"/>
      <c r="G233" s="122"/>
      <c r="H233" s="122"/>
      <c r="I233" s="122"/>
      <c r="J233" s="173"/>
      <c r="K233" s="181"/>
      <c r="L233" s="181"/>
      <c r="M233" s="181"/>
      <c r="N233" s="181"/>
      <c r="O233" s="181"/>
      <c r="P233" s="181"/>
      <c r="Q233" s="181"/>
      <c r="R233" s="181"/>
      <c r="S233" s="181"/>
      <c r="T233" s="181"/>
      <c r="U233" s="181"/>
      <c r="V233" s="181"/>
      <c r="W233" s="181"/>
      <c r="X233" s="181"/>
      <c r="Y233" s="181"/>
    </row>
    <row r="234" spans="1:25" ht="15.75" hidden="1" customHeight="1" x14ac:dyDescent="0.2">
      <c r="A234" s="181"/>
      <c r="B234" s="174"/>
      <c r="C234" s="175"/>
      <c r="D234" s="175"/>
      <c r="E234" s="175"/>
      <c r="F234" s="122"/>
      <c r="G234" s="122"/>
      <c r="H234" s="122"/>
      <c r="I234" s="122"/>
      <c r="J234" s="173"/>
      <c r="K234" s="181"/>
      <c r="L234" s="181"/>
      <c r="M234" s="181"/>
      <c r="N234" s="181"/>
      <c r="O234" s="181"/>
      <c r="P234" s="181"/>
      <c r="Q234" s="181"/>
      <c r="R234" s="181"/>
      <c r="S234" s="181"/>
      <c r="T234" s="181"/>
      <c r="U234" s="181"/>
      <c r="V234" s="181"/>
      <c r="W234" s="181"/>
      <c r="X234" s="181"/>
      <c r="Y234" s="181"/>
    </row>
    <row r="235" spans="1:25" ht="15.75" hidden="1" customHeight="1" x14ac:dyDescent="0.2">
      <c r="A235" s="181"/>
      <c r="B235" s="174"/>
      <c r="C235" s="175"/>
      <c r="D235" s="175"/>
      <c r="E235" s="175"/>
      <c r="F235" s="122"/>
      <c r="G235" s="122"/>
      <c r="H235" s="122"/>
      <c r="I235" s="122"/>
      <c r="J235" s="173"/>
      <c r="K235" s="181"/>
      <c r="L235" s="181"/>
      <c r="M235" s="181"/>
      <c r="N235" s="181"/>
      <c r="O235" s="181"/>
      <c r="P235" s="181"/>
      <c r="Q235" s="181"/>
      <c r="R235" s="181"/>
      <c r="S235" s="181"/>
      <c r="T235" s="181"/>
      <c r="U235" s="181"/>
      <c r="V235" s="181"/>
      <c r="W235" s="181"/>
      <c r="X235" s="181"/>
      <c r="Y235" s="181"/>
    </row>
    <row r="236" spans="1:25" ht="15.75" hidden="1" customHeight="1" x14ac:dyDescent="0.2">
      <c r="A236" s="181"/>
      <c r="B236" s="174"/>
      <c r="C236" s="175"/>
      <c r="D236" s="175"/>
      <c r="E236" s="175"/>
      <c r="F236" s="122"/>
      <c r="G236" s="122"/>
      <c r="H236" s="122"/>
      <c r="I236" s="122"/>
      <c r="J236" s="173"/>
      <c r="K236" s="181"/>
      <c r="L236" s="181"/>
      <c r="M236" s="181"/>
      <c r="N236" s="181"/>
      <c r="O236" s="181"/>
      <c r="P236" s="181"/>
      <c r="Q236" s="181"/>
      <c r="R236" s="181"/>
      <c r="S236" s="181"/>
      <c r="T236" s="181"/>
      <c r="U236" s="181"/>
      <c r="V236" s="181"/>
      <c r="W236" s="181"/>
      <c r="X236" s="181"/>
      <c r="Y236" s="181"/>
    </row>
    <row r="237" spans="1:25" ht="15.75" hidden="1" customHeight="1" x14ac:dyDescent="0.2">
      <c r="A237" s="181"/>
      <c r="B237" s="174"/>
      <c r="C237" s="175"/>
      <c r="D237" s="175"/>
      <c r="E237" s="175"/>
      <c r="F237" s="122"/>
      <c r="G237" s="122"/>
      <c r="H237" s="122"/>
      <c r="I237" s="122"/>
      <c r="J237" s="173"/>
      <c r="K237" s="181"/>
      <c r="L237" s="181"/>
      <c r="M237" s="181"/>
      <c r="N237" s="181"/>
      <c r="O237" s="181"/>
      <c r="P237" s="181"/>
      <c r="Q237" s="181"/>
      <c r="R237" s="181"/>
      <c r="S237" s="181"/>
      <c r="T237" s="181"/>
      <c r="U237" s="181"/>
      <c r="V237" s="181"/>
      <c r="W237" s="181"/>
      <c r="X237" s="181"/>
      <c r="Y237" s="181"/>
    </row>
    <row r="238" spans="1:25" ht="15.75" hidden="1" customHeight="1" x14ac:dyDescent="0.2">
      <c r="A238" s="181"/>
      <c r="B238" s="174"/>
      <c r="C238" s="175"/>
      <c r="D238" s="175"/>
      <c r="E238" s="175"/>
      <c r="F238" s="122"/>
      <c r="G238" s="122"/>
      <c r="H238" s="122"/>
      <c r="I238" s="122"/>
      <c r="J238" s="173"/>
      <c r="K238" s="181"/>
      <c r="L238" s="181"/>
      <c r="M238" s="181"/>
      <c r="N238" s="181"/>
      <c r="O238" s="181"/>
      <c r="P238" s="181"/>
      <c r="Q238" s="181"/>
      <c r="R238" s="181"/>
      <c r="S238" s="181"/>
      <c r="T238" s="181"/>
      <c r="U238" s="181"/>
      <c r="V238" s="181"/>
      <c r="W238" s="181"/>
      <c r="X238" s="181"/>
      <c r="Y238" s="181"/>
    </row>
    <row r="239" spans="1:25" ht="15.75" hidden="1" customHeight="1" x14ac:dyDescent="0.2">
      <c r="A239" s="181"/>
      <c r="B239" s="174"/>
      <c r="C239" s="175"/>
      <c r="D239" s="175"/>
      <c r="E239" s="175"/>
      <c r="F239" s="122"/>
      <c r="G239" s="122"/>
      <c r="H239" s="122"/>
      <c r="I239" s="122"/>
      <c r="J239" s="173"/>
      <c r="K239" s="181"/>
      <c r="L239" s="181"/>
      <c r="M239" s="181"/>
      <c r="N239" s="181"/>
      <c r="O239" s="181"/>
      <c r="P239" s="181"/>
      <c r="Q239" s="181"/>
      <c r="R239" s="181"/>
      <c r="S239" s="181"/>
      <c r="T239" s="181"/>
      <c r="U239" s="181"/>
      <c r="V239" s="181"/>
      <c r="W239" s="181"/>
      <c r="X239" s="181"/>
      <c r="Y239" s="181"/>
    </row>
    <row r="240" spans="1:25" ht="15.75" hidden="1" customHeight="1" x14ac:dyDescent="0.2">
      <c r="A240" s="181"/>
      <c r="B240" s="174"/>
      <c r="C240" s="175"/>
      <c r="D240" s="175"/>
      <c r="E240" s="175"/>
      <c r="F240" s="122"/>
      <c r="G240" s="122"/>
      <c r="H240" s="122"/>
      <c r="I240" s="122"/>
      <c r="J240" s="173"/>
      <c r="K240" s="181"/>
      <c r="L240" s="181"/>
      <c r="M240" s="181"/>
      <c r="N240" s="181"/>
      <c r="O240" s="181"/>
      <c r="P240" s="181"/>
      <c r="Q240" s="181"/>
      <c r="R240" s="181"/>
      <c r="S240" s="181"/>
      <c r="T240" s="181"/>
      <c r="U240" s="181"/>
      <c r="V240" s="181"/>
      <c r="W240" s="181"/>
      <c r="X240" s="181"/>
      <c r="Y240" s="181"/>
    </row>
    <row r="241" spans="1:25" ht="15.75" hidden="1" customHeight="1" x14ac:dyDescent="0.2">
      <c r="A241" s="181"/>
      <c r="B241" s="174"/>
      <c r="C241" s="175"/>
      <c r="D241" s="175"/>
      <c r="E241" s="175"/>
      <c r="F241" s="122"/>
      <c r="G241" s="122"/>
      <c r="H241" s="122"/>
      <c r="I241" s="122"/>
      <c r="J241" s="173"/>
      <c r="K241" s="181"/>
      <c r="L241" s="181"/>
      <c r="M241" s="181"/>
      <c r="N241" s="181"/>
      <c r="O241" s="181"/>
      <c r="P241" s="181"/>
      <c r="Q241" s="181"/>
      <c r="R241" s="181"/>
      <c r="S241" s="181"/>
      <c r="T241" s="181"/>
      <c r="U241" s="181"/>
      <c r="V241" s="181"/>
      <c r="W241" s="181"/>
      <c r="X241" s="181"/>
      <c r="Y241" s="181"/>
    </row>
    <row r="242" spans="1:25" ht="15.75" hidden="1" customHeight="1" x14ac:dyDescent="0.2">
      <c r="A242" s="181"/>
      <c r="B242" s="174"/>
      <c r="C242" s="175"/>
      <c r="D242" s="175"/>
      <c r="E242" s="175"/>
      <c r="F242" s="122"/>
      <c r="G242" s="122"/>
      <c r="H242" s="122"/>
      <c r="I242" s="122"/>
      <c r="J242" s="173"/>
      <c r="K242" s="181"/>
      <c r="L242" s="181"/>
      <c r="M242" s="181"/>
      <c r="N242" s="181"/>
      <c r="O242" s="181"/>
      <c r="P242" s="181"/>
      <c r="Q242" s="181"/>
      <c r="R242" s="181"/>
      <c r="S242" s="181"/>
      <c r="T242" s="181"/>
      <c r="U242" s="181"/>
      <c r="V242" s="181"/>
      <c r="W242" s="181"/>
      <c r="X242" s="181"/>
      <c r="Y242" s="181"/>
    </row>
    <row r="243" spans="1:25" ht="15.75" hidden="1" customHeight="1" x14ac:dyDescent="0.2">
      <c r="A243" s="181"/>
      <c r="B243" s="174"/>
      <c r="C243" s="175"/>
      <c r="D243" s="175"/>
      <c r="E243" s="175"/>
      <c r="F243" s="122"/>
      <c r="G243" s="122"/>
      <c r="H243" s="122"/>
      <c r="I243" s="122"/>
      <c r="J243" s="173"/>
      <c r="K243" s="181"/>
      <c r="L243" s="181"/>
      <c r="M243" s="181"/>
      <c r="N243" s="181"/>
      <c r="O243" s="181"/>
      <c r="P243" s="181"/>
      <c r="Q243" s="181"/>
      <c r="R243" s="181"/>
      <c r="S243" s="181"/>
      <c r="T243" s="181"/>
      <c r="U243" s="181"/>
      <c r="V243" s="181"/>
      <c r="W243" s="181"/>
      <c r="X243" s="181"/>
      <c r="Y243" s="181"/>
    </row>
    <row r="244" spans="1:25" ht="15.75" hidden="1" customHeight="1" x14ac:dyDescent="0.2">
      <c r="A244" s="181"/>
      <c r="B244" s="174"/>
      <c r="C244" s="175"/>
      <c r="D244" s="175"/>
      <c r="E244" s="175"/>
      <c r="F244" s="122"/>
      <c r="G244" s="122"/>
      <c r="H244" s="122"/>
      <c r="I244" s="122"/>
      <c r="J244" s="173"/>
      <c r="K244" s="181"/>
      <c r="L244" s="181"/>
      <c r="M244" s="181"/>
      <c r="N244" s="181"/>
      <c r="O244" s="181"/>
      <c r="P244" s="181"/>
      <c r="Q244" s="181"/>
      <c r="R244" s="181"/>
      <c r="S244" s="181"/>
      <c r="T244" s="181"/>
      <c r="U244" s="181"/>
      <c r="V244" s="181"/>
      <c r="W244" s="181"/>
      <c r="X244" s="181"/>
      <c r="Y244" s="181"/>
    </row>
    <row r="245" spans="1:25" ht="15.75" hidden="1" customHeight="1" x14ac:dyDescent="0.2">
      <c r="A245" s="181"/>
      <c r="B245" s="174"/>
      <c r="C245" s="175"/>
      <c r="D245" s="175"/>
      <c r="E245" s="175"/>
      <c r="F245" s="122"/>
      <c r="G245" s="122"/>
      <c r="H245" s="122"/>
      <c r="I245" s="122"/>
      <c r="J245" s="173"/>
      <c r="K245" s="181"/>
      <c r="L245" s="181"/>
      <c r="M245" s="181"/>
      <c r="N245" s="181"/>
      <c r="O245" s="181"/>
      <c r="P245" s="181"/>
      <c r="Q245" s="181"/>
      <c r="R245" s="181"/>
      <c r="S245" s="181"/>
      <c r="T245" s="181"/>
      <c r="U245" s="181"/>
      <c r="V245" s="181"/>
      <c r="W245" s="181"/>
      <c r="X245" s="181"/>
      <c r="Y245" s="181"/>
    </row>
    <row r="246" spans="1:25" ht="15.75" hidden="1" customHeight="1" x14ac:dyDescent="0.2">
      <c r="A246" s="181"/>
      <c r="B246" s="174"/>
      <c r="C246" s="175"/>
      <c r="D246" s="175"/>
      <c r="E246" s="175"/>
      <c r="F246" s="122"/>
      <c r="G246" s="122"/>
      <c r="H246" s="122"/>
      <c r="I246" s="122"/>
      <c r="J246" s="173"/>
      <c r="K246" s="181"/>
      <c r="L246" s="181"/>
      <c r="M246" s="181"/>
      <c r="N246" s="181"/>
      <c r="O246" s="181"/>
      <c r="P246" s="181"/>
      <c r="Q246" s="181"/>
      <c r="R246" s="181"/>
      <c r="S246" s="181"/>
      <c r="T246" s="181"/>
      <c r="U246" s="181"/>
      <c r="V246" s="181"/>
      <c r="W246" s="181"/>
      <c r="X246" s="181"/>
      <c r="Y246" s="181"/>
    </row>
    <row r="247" spans="1:25" ht="15.75" hidden="1" customHeight="1" x14ac:dyDescent="0.2">
      <c r="A247" s="181"/>
      <c r="B247" s="174"/>
      <c r="C247" s="175"/>
      <c r="D247" s="175"/>
      <c r="E247" s="175"/>
      <c r="F247" s="122"/>
      <c r="G247" s="122"/>
      <c r="H247" s="122"/>
      <c r="I247" s="122"/>
      <c r="J247" s="173"/>
      <c r="K247" s="181"/>
      <c r="L247" s="181"/>
      <c r="M247" s="181"/>
      <c r="N247" s="181"/>
      <c r="O247" s="181"/>
      <c r="P247" s="181"/>
      <c r="Q247" s="181"/>
      <c r="R247" s="181"/>
      <c r="S247" s="181"/>
      <c r="T247" s="181"/>
      <c r="U247" s="181"/>
      <c r="V247" s="181"/>
      <c r="W247" s="181"/>
      <c r="X247" s="181"/>
      <c r="Y247" s="181"/>
    </row>
    <row r="248" spans="1:25" ht="15.75" hidden="1" customHeight="1" x14ac:dyDescent="0.2">
      <c r="A248" s="181"/>
      <c r="B248" s="174"/>
      <c r="C248" s="175"/>
      <c r="D248" s="175"/>
      <c r="E248" s="175"/>
      <c r="F248" s="122"/>
      <c r="G248" s="122"/>
      <c r="H248" s="122"/>
      <c r="I248" s="122"/>
      <c r="J248" s="173"/>
      <c r="K248" s="181"/>
      <c r="L248" s="181"/>
      <c r="M248" s="181"/>
      <c r="N248" s="181"/>
      <c r="O248" s="181"/>
      <c r="P248" s="181"/>
      <c r="Q248" s="181"/>
      <c r="R248" s="181"/>
      <c r="S248" s="181"/>
      <c r="T248" s="181"/>
      <c r="U248" s="181"/>
      <c r="V248" s="181"/>
      <c r="W248" s="181"/>
      <c r="X248" s="181"/>
      <c r="Y248" s="181"/>
    </row>
    <row r="249" spans="1:25" ht="15.75" hidden="1" customHeight="1" x14ac:dyDescent="0.2">
      <c r="A249" s="181"/>
      <c r="B249" s="174"/>
      <c r="C249" s="175"/>
      <c r="D249" s="175"/>
      <c r="E249" s="175"/>
      <c r="F249" s="122"/>
      <c r="G249" s="122"/>
      <c r="H249" s="122"/>
      <c r="I249" s="122"/>
      <c r="J249" s="173"/>
      <c r="K249" s="181"/>
      <c r="L249" s="181"/>
      <c r="M249" s="181"/>
      <c r="N249" s="181"/>
      <c r="O249" s="181"/>
      <c r="P249" s="181"/>
      <c r="Q249" s="181"/>
      <c r="R249" s="181"/>
      <c r="S249" s="181"/>
      <c r="T249" s="181"/>
      <c r="U249" s="181"/>
      <c r="V249" s="181"/>
      <c r="W249" s="181"/>
      <c r="X249" s="181"/>
      <c r="Y249" s="181"/>
    </row>
    <row r="250" spans="1:25" ht="15.75" hidden="1" customHeight="1" x14ac:dyDescent="0.2">
      <c r="A250" s="181"/>
      <c r="B250" s="174"/>
      <c r="C250" s="175"/>
      <c r="D250" s="175"/>
      <c r="E250" s="175"/>
      <c r="F250" s="122"/>
      <c r="G250" s="122"/>
      <c r="H250" s="122"/>
      <c r="I250" s="122"/>
      <c r="J250" s="173"/>
      <c r="K250" s="181"/>
      <c r="L250" s="181"/>
      <c r="M250" s="181"/>
      <c r="N250" s="181"/>
      <c r="O250" s="181"/>
      <c r="P250" s="181"/>
      <c r="Q250" s="181"/>
      <c r="R250" s="181"/>
      <c r="S250" s="181"/>
      <c r="T250" s="181"/>
      <c r="U250" s="181"/>
      <c r="V250" s="181"/>
      <c r="W250" s="181"/>
      <c r="X250" s="181"/>
      <c r="Y250" s="181"/>
    </row>
    <row r="251" spans="1:25" ht="15.75" hidden="1" customHeight="1" x14ac:dyDescent="0.2">
      <c r="A251" s="181"/>
      <c r="B251" s="174"/>
      <c r="C251" s="175"/>
      <c r="D251" s="175"/>
      <c r="E251" s="175"/>
      <c r="F251" s="122"/>
      <c r="G251" s="122"/>
      <c r="H251" s="122"/>
      <c r="I251" s="122"/>
      <c r="J251" s="173"/>
      <c r="K251" s="181"/>
      <c r="L251" s="181"/>
      <c r="M251" s="181"/>
      <c r="N251" s="181"/>
      <c r="O251" s="181"/>
      <c r="P251" s="181"/>
      <c r="Q251" s="181"/>
      <c r="R251" s="181"/>
      <c r="S251" s="181"/>
      <c r="T251" s="181"/>
      <c r="U251" s="181"/>
      <c r="V251" s="181"/>
      <c r="W251" s="181"/>
      <c r="X251" s="181"/>
      <c r="Y251" s="181"/>
    </row>
    <row r="252" spans="1:25" ht="15.75" hidden="1" customHeight="1" x14ac:dyDescent="0.2">
      <c r="A252" s="181"/>
      <c r="B252" s="174"/>
      <c r="C252" s="175"/>
      <c r="D252" s="175"/>
      <c r="E252" s="175"/>
      <c r="F252" s="122"/>
      <c r="G252" s="122"/>
      <c r="H252" s="122"/>
      <c r="I252" s="122"/>
      <c r="J252" s="173"/>
      <c r="K252" s="181"/>
      <c r="L252" s="181"/>
      <c r="M252" s="181"/>
      <c r="N252" s="181"/>
      <c r="O252" s="181"/>
      <c r="P252" s="181"/>
      <c r="Q252" s="181"/>
      <c r="R252" s="181"/>
      <c r="S252" s="181"/>
      <c r="T252" s="181"/>
      <c r="U252" s="181"/>
      <c r="V252" s="181"/>
      <c r="W252" s="181"/>
      <c r="X252" s="181"/>
      <c r="Y252" s="181"/>
    </row>
    <row r="253" spans="1:25" ht="15.75" hidden="1" customHeight="1" x14ac:dyDescent="0.2">
      <c r="A253" s="181"/>
      <c r="B253" s="174"/>
      <c r="C253" s="175"/>
      <c r="D253" s="175"/>
      <c r="E253" s="175"/>
      <c r="F253" s="122"/>
      <c r="G253" s="122"/>
      <c r="H253" s="122"/>
      <c r="I253" s="122"/>
      <c r="J253" s="173"/>
      <c r="K253" s="181"/>
      <c r="L253" s="181"/>
      <c r="M253" s="181"/>
      <c r="N253" s="181"/>
      <c r="O253" s="181"/>
      <c r="P253" s="181"/>
      <c r="Q253" s="181"/>
      <c r="R253" s="181"/>
      <c r="S253" s="181"/>
      <c r="T253" s="181"/>
      <c r="U253" s="181"/>
      <c r="V253" s="181"/>
      <c r="W253" s="181"/>
      <c r="X253" s="181"/>
      <c r="Y253" s="181"/>
    </row>
    <row r="254" spans="1:25" ht="15.75" hidden="1" customHeight="1" x14ac:dyDescent="0.2">
      <c r="A254" s="181"/>
      <c r="B254" s="174"/>
      <c r="C254" s="175"/>
      <c r="D254" s="175"/>
      <c r="E254" s="175"/>
      <c r="F254" s="122"/>
      <c r="G254" s="122"/>
      <c r="H254" s="122"/>
      <c r="I254" s="122"/>
      <c r="J254" s="173"/>
      <c r="K254" s="181"/>
      <c r="L254" s="181"/>
      <c r="M254" s="181"/>
      <c r="N254" s="181"/>
      <c r="O254" s="181"/>
      <c r="P254" s="181"/>
      <c r="Q254" s="181"/>
      <c r="R254" s="181"/>
      <c r="S254" s="181"/>
      <c r="T254" s="181"/>
      <c r="U254" s="181"/>
      <c r="V254" s="181"/>
      <c r="W254" s="181"/>
      <c r="X254" s="181"/>
      <c r="Y254" s="181"/>
    </row>
    <row r="255" spans="1:25" ht="15.75" hidden="1" customHeight="1" x14ac:dyDescent="0.2">
      <c r="A255" s="181"/>
      <c r="B255" s="174"/>
      <c r="C255" s="175"/>
      <c r="D255" s="175"/>
      <c r="E255" s="175"/>
      <c r="F255" s="122"/>
      <c r="G255" s="122"/>
      <c r="H255" s="122"/>
      <c r="I255" s="122"/>
      <c r="J255" s="173"/>
      <c r="K255" s="181"/>
      <c r="L255" s="181"/>
      <c r="M255" s="181"/>
      <c r="N255" s="181"/>
      <c r="O255" s="181"/>
      <c r="P255" s="181"/>
      <c r="Q255" s="181"/>
      <c r="R255" s="181"/>
      <c r="S255" s="181"/>
      <c r="T255" s="181"/>
      <c r="U255" s="181"/>
      <c r="V255" s="181"/>
      <c r="W255" s="181"/>
      <c r="X255" s="181"/>
      <c r="Y255" s="181"/>
    </row>
    <row r="256" spans="1:25" ht="15.75" hidden="1" customHeight="1" x14ac:dyDescent="0.2">
      <c r="A256" s="181"/>
      <c r="B256" s="174"/>
      <c r="C256" s="175"/>
      <c r="D256" s="175"/>
      <c r="E256" s="175"/>
      <c r="F256" s="122"/>
      <c r="G256" s="122"/>
      <c r="H256" s="122"/>
      <c r="I256" s="122"/>
      <c r="J256" s="173"/>
      <c r="K256" s="181"/>
      <c r="L256" s="181"/>
      <c r="M256" s="181"/>
      <c r="N256" s="181"/>
      <c r="O256" s="181"/>
      <c r="P256" s="181"/>
      <c r="Q256" s="181"/>
      <c r="R256" s="181"/>
      <c r="S256" s="181"/>
      <c r="T256" s="181"/>
      <c r="U256" s="181"/>
      <c r="V256" s="181"/>
      <c r="W256" s="181"/>
      <c r="X256" s="181"/>
      <c r="Y256" s="181"/>
    </row>
    <row r="257" spans="1:25" ht="15.75" hidden="1" customHeight="1" x14ac:dyDescent="0.2">
      <c r="A257" s="181"/>
      <c r="B257" s="174"/>
      <c r="C257" s="175"/>
      <c r="D257" s="175"/>
      <c r="E257" s="175"/>
      <c r="F257" s="122"/>
      <c r="G257" s="122"/>
      <c r="H257" s="122"/>
      <c r="I257" s="122"/>
      <c r="J257" s="173"/>
      <c r="K257" s="181"/>
      <c r="L257" s="181"/>
      <c r="M257" s="181"/>
      <c r="N257" s="181"/>
      <c r="O257" s="181"/>
      <c r="P257" s="181"/>
      <c r="Q257" s="181"/>
      <c r="R257" s="181"/>
      <c r="S257" s="181"/>
      <c r="T257" s="181"/>
      <c r="U257" s="181"/>
      <c r="V257" s="181"/>
      <c r="W257" s="181"/>
      <c r="X257" s="181"/>
      <c r="Y257" s="181"/>
    </row>
    <row r="258" spans="1:25" ht="15.75" hidden="1" customHeight="1" x14ac:dyDescent="0.2">
      <c r="A258" s="181"/>
      <c r="B258" s="174"/>
      <c r="C258" s="175"/>
      <c r="D258" s="175"/>
      <c r="E258" s="175"/>
      <c r="F258" s="122"/>
      <c r="G258" s="122"/>
      <c r="H258" s="122"/>
      <c r="I258" s="122"/>
      <c r="J258" s="173"/>
      <c r="K258" s="181"/>
      <c r="L258" s="181"/>
      <c r="M258" s="181"/>
      <c r="N258" s="181"/>
      <c r="O258" s="181"/>
      <c r="P258" s="181"/>
      <c r="Q258" s="181"/>
      <c r="R258" s="181"/>
      <c r="S258" s="181"/>
      <c r="T258" s="181"/>
      <c r="U258" s="181"/>
      <c r="V258" s="181"/>
      <c r="W258" s="181"/>
      <c r="X258" s="181"/>
      <c r="Y258" s="181"/>
    </row>
    <row r="259" spans="1:25" ht="15.75" hidden="1" customHeight="1" x14ac:dyDescent="0.2">
      <c r="A259" s="181"/>
      <c r="B259" s="174"/>
      <c r="C259" s="175"/>
      <c r="D259" s="175"/>
      <c r="E259" s="175"/>
      <c r="F259" s="122"/>
      <c r="G259" s="122"/>
      <c r="H259" s="122"/>
      <c r="I259" s="122"/>
      <c r="J259" s="173"/>
      <c r="K259" s="181"/>
      <c r="L259" s="181"/>
      <c r="M259" s="181"/>
      <c r="N259" s="181"/>
      <c r="O259" s="181"/>
      <c r="P259" s="181"/>
      <c r="Q259" s="181"/>
      <c r="R259" s="181"/>
      <c r="S259" s="181"/>
      <c r="T259" s="181"/>
      <c r="U259" s="181"/>
      <c r="V259" s="181"/>
      <c r="W259" s="181"/>
      <c r="X259" s="181"/>
      <c r="Y259" s="181"/>
    </row>
    <row r="260" spans="1:25" ht="15.75" hidden="1" customHeight="1" x14ac:dyDescent="0.2">
      <c r="A260" s="181"/>
      <c r="B260" s="174"/>
      <c r="C260" s="175"/>
      <c r="D260" s="175"/>
      <c r="E260" s="175"/>
      <c r="F260" s="122"/>
      <c r="G260" s="122"/>
      <c r="H260" s="122"/>
      <c r="I260" s="122"/>
      <c r="J260" s="173"/>
      <c r="K260" s="181"/>
      <c r="L260" s="181"/>
      <c r="M260" s="181"/>
      <c r="N260" s="181"/>
      <c r="O260" s="181"/>
      <c r="P260" s="181"/>
      <c r="Q260" s="181"/>
      <c r="R260" s="181"/>
      <c r="S260" s="181"/>
      <c r="T260" s="181"/>
      <c r="U260" s="181"/>
      <c r="V260" s="181"/>
      <c r="W260" s="181"/>
      <c r="X260" s="181"/>
      <c r="Y260" s="181"/>
    </row>
    <row r="261" spans="1:25" ht="15.75" hidden="1" customHeight="1" x14ac:dyDescent="0.2">
      <c r="A261" s="181"/>
      <c r="B261" s="174"/>
      <c r="C261" s="175"/>
      <c r="D261" s="175"/>
      <c r="E261" s="175"/>
      <c r="F261" s="122"/>
      <c r="G261" s="122"/>
      <c r="H261" s="122"/>
      <c r="I261" s="122"/>
      <c r="J261" s="173"/>
      <c r="K261" s="181"/>
      <c r="L261" s="181"/>
      <c r="M261" s="181"/>
      <c r="N261" s="181"/>
      <c r="O261" s="181"/>
      <c r="P261" s="181"/>
      <c r="Q261" s="181"/>
      <c r="R261" s="181"/>
      <c r="S261" s="181"/>
      <c r="T261" s="181"/>
      <c r="U261" s="181"/>
      <c r="V261" s="181"/>
      <c r="W261" s="181"/>
      <c r="X261" s="181"/>
      <c r="Y261" s="181"/>
    </row>
    <row r="262" spans="1:25" ht="15.75" hidden="1" customHeight="1" x14ac:dyDescent="0.2">
      <c r="A262" s="181"/>
      <c r="B262" s="174"/>
      <c r="C262" s="175"/>
      <c r="D262" s="175"/>
      <c r="E262" s="175"/>
      <c r="F262" s="122"/>
      <c r="G262" s="122"/>
      <c r="H262" s="122"/>
      <c r="I262" s="122"/>
      <c r="J262" s="173"/>
      <c r="K262" s="181"/>
      <c r="L262" s="181"/>
      <c r="M262" s="181"/>
      <c r="N262" s="181"/>
      <c r="O262" s="181"/>
      <c r="P262" s="181"/>
      <c r="Q262" s="181"/>
      <c r="R262" s="181"/>
      <c r="S262" s="181"/>
      <c r="T262" s="181"/>
      <c r="U262" s="181"/>
      <c r="V262" s="181"/>
      <c r="W262" s="181"/>
      <c r="X262" s="181"/>
      <c r="Y262" s="181"/>
    </row>
    <row r="263" spans="1:25" ht="15.75" hidden="1" customHeight="1" x14ac:dyDescent="0.2">
      <c r="A263" s="181"/>
      <c r="B263" s="174"/>
      <c r="C263" s="175"/>
      <c r="D263" s="175"/>
      <c r="E263" s="175"/>
      <c r="F263" s="122"/>
      <c r="G263" s="122"/>
      <c r="H263" s="122"/>
      <c r="I263" s="122"/>
      <c r="J263" s="173"/>
      <c r="K263" s="181"/>
      <c r="L263" s="181"/>
      <c r="M263" s="181"/>
      <c r="N263" s="181"/>
      <c r="O263" s="181"/>
      <c r="P263" s="181"/>
      <c r="Q263" s="181"/>
      <c r="R263" s="181"/>
      <c r="S263" s="181"/>
      <c r="T263" s="181"/>
      <c r="U263" s="181"/>
      <c r="V263" s="181"/>
      <c r="W263" s="181"/>
      <c r="X263" s="181"/>
      <c r="Y263" s="181"/>
    </row>
    <row r="264" spans="1:25" ht="15.75" hidden="1" customHeight="1" x14ac:dyDescent="0.2">
      <c r="A264" s="181"/>
      <c r="B264" s="174"/>
      <c r="C264" s="175"/>
      <c r="D264" s="175"/>
      <c r="E264" s="175"/>
      <c r="F264" s="122"/>
      <c r="G264" s="122"/>
      <c r="H264" s="122"/>
      <c r="I264" s="122"/>
      <c r="J264" s="173"/>
      <c r="K264" s="181"/>
      <c r="L264" s="181"/>
      <c r="M264" s="181"/>
      <c r="N264" s="181"/>
      <c r="O264" s="181"/>
      <c r="P264" s="181"/>
      <c r="Q264" s="181"/>
      <c r="R264" s="181"/>
      <c r="S264" s="181"/>
      <c r="T264" s="181"/>
      <c r="U264" s="181"/>
      <c r="V264" s="181"/>
      <c r="W264" s="181"/>
      <c r="X264" s="181"/>
      <c r="Y264" s="181"/>
    </row>
    <row r="265" spans="1:25" ht="15.75" hidden="1" customHeight="1" x14ac:dyDescent="0.2">
      <c r="A265" s="181"/>
      <c r="B265" s="174"/>
      <c r="C265" s="175"/>
      <c r="D265" s="175"/>
      <c r="E265" s="175"/>
      <c r="F265" s="122"/>
      <c r="G265" s="122"/>
      <c r="H265" s="122"/>
      <c r="I265" s="122"/>
      <c r="J265" s="173"/>
      <c r="K265" s="181"/>
      <c r="L265" s="181"/>
      <c r="M265" s="181"/>
      <c r="N265" s="181"/>
      <c r="O265" s="181"/>
      <c r="P265" s="181"/>
      <c r="Q265" s="181"/>
      <c r="R265" s="181"/>
      <c r="S265" s="181"/>
      <c r="T265" s="181"/>
      <c r="U265" s="181"/>
      <c r="V265" s="181"/>
      <c r="W265" s="181"/>
      <c r="X265" s="181"/>
      <c r="Y265" s="181"/>
    </row>
    <row r="266" spans="1:25" ht="15.75" hidden="1" customHeight="1" x14ac:dyDescent="0.2">
      <c r="A266" s="181"/>
      <c r="B266" s="174"/>
      <c r="C266" s="175"/>
      <c r="D266" s="175"/>
      <c r="E266" s="175"/>
      <c r="F266" s="122"/>
      <c r="G266" s="122"/>
      <c r="H266" s="122"/>
      <c r="I266" s="122"/>
      <c r="J266" s="173"/>
      <c r="K266" s="181"/>
      <c r="L266" s="181"/>
      <c r="M266" s="181"/>
      <c r="N266" s="181"/>
      <c r="O266" s="181"/>
      <c r="P266" s="181"/>
      <c r="Q266" s="181"/>
      <c r="R266" s="181"/>
      <c r="S266" s="181"/>
      <c r="T266" s="181"/>
      <c r="U266" s="181"/>
      <c r="V266" s="181"/>
      <c r="W266" s="181"/>
      <c r="X266" s="181"/>
      <c r="Y266" s="181"/>
    </row>
    <row r="267" spans="1:25" ht="15.75" hidden="1" customHeight="1" x14ac:dyDescent="0.2">
      <c r="A267" s="181"/>
      <c r="B267" s="174"/>
      <c r="C267" s="175"/>
      <c r="D267" s="175"/>
      <c r="E267" s="175"/>
      <c r="F267" s="122"/>
      <c r="G267" s="122"/>
      <c r="H267" s="122"/>
      <c r="I267" s="122"/>
      <c r="J267" s="173"/>
      <c r="K267" s="181"/>
      <c r="L267" s="181"/>
      <c r="M267" s="181"/>
      <c r="N267" s="181"/>
      <c r="O267" s="181"/>
      <c r="P267" s="181"/>
      <c r="Q267" s="181"/>
      <c r="R267" s="181"/>
      <c r="S267" s="181"/>
      <c r="T267" s="181"/>
      <c r="U267" s="181"/>
      <c r="V267" s="181"/>
      <c r="W267" s="181"/>
      <c r="X267" s="181"/>
      <c r="Y267" s="181"/>
    </row>
    <row r="268" spans="1:25" ht="15.75" hidden="1" customHeight="1" x14ac:dyDescent="0.2">
      <c r="A268" s="181"/>
      <c r="B268" s="174"/>
      <c r="C268" s="175"/>
      <c r="D268" s="175"/>
      <c r="E268" s="175"/>
      <c r="F268" s="122"/>
      <c r="G268" s="122"/>
      <c r="H268" s="122"/>
      <c r="I268" s="122"/>
      <c r="J268" s="173"/>
      <c r="K268" s="181"/>
      <c r="L268" s="181"/>
      <c r="M268" s="181"/>
      <c r="N268" s="181"/>
      <c r="O268" s="181"/>
      <c r="P268" s="181"/>
      <c r="Q268" s="181"/>
      <c r="R268" s="181"/>
      <c r="S268" s="181"/>
      <c r="T268" s="181"/>
      <c r="U268" s="181"/>
      <c r="V268" s="181"/>
      <c r="W268" s="181"/>
      <c r="X268" s="181"/>
      <c r="Y268" s="181"/>
    </row>
    <row r="269" spans="1:25" ht="15.75" hidden="1" customHeight="1" x14ac:dyDescent="0.2">
      <c r="A269" s="181"/>
      <c r="B269" s="174"/>
      <c r="C269" s="175"/>
      <c r="D269" s="175"/>
      <c r="E269" s="175"/>
      <c r="F269" s="122"/>
      <c r="G269" s="122"/>
      <c r="H269" s="122"/>
      <c r="I269" s="122"/>
      <c r="J269" s="173"/>
      <c r="K269" s="181"/>
      <c r="L269" s="181"/>
      <c r="M269" s="181"/>
      <c r="N269" s="181"/>
      <c r="O269" s="181"/>
      <c r="P269" s="181"/>
      <c r="Q269" s="181"/>
      <c r="R269" s="181"/>
      <c r="S269" s="181"/>
      <c r="T269" s="181"/>
      <c r="U269" s="181"/>
      <c r="V269" s="181"/>
      <c r="W269" s="181"/>
      <c r="X269" s="181"/>
      <c r="Y269" s="181"/>
    </row>
    <row r="270" spans="1:25" ht="15.75" hidden="1" customHeight="1" x14ac:dyDescent="0.2">
      <c r="A270" s="181"/>
      <c r="B270" s="174"/>
      <c r="C270" s="175"/>
      <c r="D270" s="175"/>
      <c r="E270" s="175"/>
      <c r="F270" s="122"/>
      <c r="G270" s="122"/>
      <c r="H270" s="122"/>
      <c r="I270" s="122"/>
      <c r="J270" s="173"/>
      <c r="K270" s="181"/>
      <c r="L270" s="181"/>
      <c r="M270" s="181"/>
      <c r="N270" s="181"/>
      <c r="O270" s="181"/>
      <c r="P270" s="181"/>
      <c r="Q270" s="181"/>
      <c r="R270" s="181"/>
      <c r="S270" s="181"/>
      <c r="T270" s="181"/>
      <c r="U270" s="181"/>
      <c r="V270" s="181"/>
      <c r="W270" s="181"/>
      <c r="X270" s="181"/>
      <c r="Y270" s="181"/>
    </row>
    <row r="271" spans="1:25" ht="15.75" hidden="1" customHeight="1" x14ac:dyDescent="0.2">
      <c r="A271" s="181"/>
      <c r="B271" s="174"/>
      <c r="C271" s="175"/>
      <c r="D271" s="175"/>
      <c r="E271" s="175"/>
      <c r="F271" s="122"/>
      <c r="G271" s="122"/>
      <c r="H271" s="122"/>
      <c r="I271" s="122"/>
      <c r="J271" s="173"/>
      <c r="K271" s="181"/>
      <c r="L271" s="181"/>
      <c r="M271" s="181"/>
      <c r="N271" s="181"/>
      <c r="O271" s="181"/>
      <c r="P271" s="181"/>
      <c r="Q271" s="181"/>
      <c r="R271" s="181"/>
      <c r="S271" s="181"/>
      <c r="T271" s="181"/>
      <c r="U271" s="181"/>
      <c r="V271" s="181"/>
      <c r="W271" s="181"/>
      <c r="X271" s="181"/>
      <c r="Y271" s="181"/>
    </row>
    <row r="272" spans="1:25" ht="15.75" hidden="1" customHeight="1" x14ac:dyDescent="0.2">
      <c r="A272" s="181"/>
      <c r="B272" s="174"/>
      <c r="C272" s="175"/>
      <c r="D272" s="175"/>
      <c r="E272" s="175"/>
      <c r="F272" s="122"/>
      <c r="G272" s="122"/>
      <c r="H272" s="122"/>
      <c r="I272" s="122"/>
      <c r="J272" s="173"/>
      <c r="K272" s="181"/>
      <c r="L272" s="181"/>
      <c r="M272" s="181"/>
      <c r="N272" s="181"/>
      <c r="O272" s="181"/>
      <c r="P272" s="181"/>
      <c r="Q272" s="181"/>
      <c r="R272" s="181"/>
      <c r="S272" s="181"/>
      <c r="T272" s="181"/>
      <c r="U272" s="181"/>
      <c r="V272" s="181"/>
      <c r="W272" s="181"/>
      <c r="X272" s="181"/>
      <c r="Y272" s="181"/>
    </row>
    <row r="273" spans="1:25" ht="15.75" hidden="1" customHeight="1" x14ac:dyDescent="0.2">
      <c r="A273" s="181"/>
      <c r="B273" s="174"/>
      <c r="C273" s="175"/>
      <c r="D273" s="175"/>
      <c r="E273" s="175"/>
      <c r="F273" s="122"/>
      <c r="G273" s="122"/>
      <c r="H273" s="122"/>
      <c r="I273" s="122"/>
      <c r="J273" s="173"/>
      <c r="K273" s="181"/>
      <c r="L273" s="181"/>
      <c r="M273" s="181"/>
      <c r="N273" s="181"/>
      <c r="O273" s="181"/>
      <c r="P273" s="181"/>
      <c r="Q273" s="181"/>
      <c r="R273" s="181"/>
      <c r="S273" s="181"/>
      <c r="T273" s="181"/>
      <c r="U273" s="181"/>
      <c r="V273" s="181"/>
      <c r="W273" s="181"/>
      <c r="X273" s="181"/>
      <c r="Y273" s="181"/>
    </row>
    <row r="274" spans="1:25" ht="15.75" hidden="1" customHeight="1" x14ac:dyDescent="0.2">
      <c r="A274" s="181"/>
      <c r="B274" s="174"/>
      <c r="C274" s="175"/>
      <c r="D274" s="175"/>
      <c r="E274" s="175"/>
      <c r="F274" s="122"/>
      <c r="G274" s="122"/>
      <c r="H274" s="122"/>
      <c r="I274" s="122"/>
      <c r="J274" s="173"/>
      <c r="K274" s="181"/>
      <c r="L274" s="181"/>
      <c r="M274" s="181"/>
      <c r="N274" s="181"/>
      <c r="O274" s="181"/>
      <c r="P274" s="181"/>
      <c r="Q274" s="181"/>
      <c r="R274" s="181"/>
      <c r="S274" s="181"/>
      <c r="T274" s="181"/>
      <c r="U274" s="181"/>
      <c r="V274" s="181"/>
      <c r="W274" s="181"/>
      <c r="X274" s="181"/>
      <c r="Y274" s="181"/>
    </row>
    <row r="275" spans="1:25" ht="15.75" hidden="1" customHeight="1" x14ac:dyDescent="0.2">
      <c r="A275" s="181"/>
      <c r="B275" s="174"/>
      <c r="C275" s="175"/>
      <c r="D275" s="175"/>
      <c r="E275" s="175"/>
      <c r="F275" s="122"/>
      <c r="G275" s="122"/>
      <c r="H275" s="122"/>
      <c r="I275" s="122"/>
      <c r="J275" s="173"/>
      <c r="K275" s="181"/>
      <c r="L275" s="181"/>
      <c r="M275" s="181"/>
      <c r="N275" s="181"/>
      <c r="O275" s="181"/>
      <c r="P275" s="181"/>
      <c r="Q275" s="181"/>
      <c r="R275" s="181"/>
      <c r="S275" s="181"/>
      <c r="T275" s="181"/>
      <c r="U275" s="181"/>
      <c r="V275" s="181"/>
      <c r="W275" s="181"/>
      <c r="X275" s="181"/>
      <c r="Y275" s="181"/>
    </row>
    <row r="276" spans="1:25" ht="15.75" hidden="1" customHeight="1" x14ac:dyDescent="0.2">
      <c r="A276" s="181"/>
      <c r="B276" s="174"/>
      <c r="C276" s="175"/>
      <c r="D276" s="175"/>
      <c r="E276" s="175"/>
      <c r="F276" s="122"/>
      <c r="G276" s="122"/>
      <c r="H276" s="122"/>
      <c r="I276" s="122"/>
      <c r="J276" s="173"/>
      <c r="K276" s="181"/>
      <c r="L276" s="181"/>
      <c r="M276" s="181"/>
      <c r="N276" s="181"/>
      <c r="O276" s="181"/>
      <c r="P276" s="181"/>
      <c r="Q276" s="181"/>
      <c r="R276" s="181"/>
      <c r="S276" s="181"/>
      <c r="T276" s="181"/>
      <c r="U276" s="181"/>
      <c r="V276" s="181"/>
      <c r="W276" s="181"/>
      <c r="X276" s="181"/>
      <c r="Y276" s="181"/>
    </row>
    <row r="277" spans="1:25" ht="15.75" hidden="1" customHeight="1" x14ac:dyDescent="0.2">
      <c r="A277" s="181"/>
      <c r="B277" s="174"/>
      <c r="C277" s="175"/>
      <c r="D277" s="175"/>
      <c r="E277" s="175"/>
      <c r="F277" s="122"/>
      <c r="G277" s="122"/>
      <c r="H277" s="122"/>
      <c r="I277" s="122"/>
      <c r="J277" s="173"/>
      <c r="K277" s="181"/>
      <c r="L277" s="181"/>
      <c r="M277" s="181"/>
      <c r="N277" s="181"/>
      <c r="O277" s="181"/>
      <c r="P277" s="181"/>
      <c r="Q277" s="181"/>
      <c r="R277" s="181"/>
      <c r="S277" s="181"/>
      <c r="T277" s="181"/>
      <c r="U277" s="181"/>
      <c r="V277" s="181"/>
      <c r="W277" s="181"/>
      <c r="X277" s="181"/>
      <c r="Y277" s="181"/>
    </row>
    <row r="278" spans="1:25" ht="15.75" hidden="1" customHeight="1" x14ac:dyDescent="0.2">
      <c r="A278" s="181"/>
      <c r="B278" s="174"/>
      <c r="C278" s="175"/>
      <c r="D278" s="175"/>
      <c r="E278" s="175"/>
      <c r="F278" s="122"/>
      <c r="G278" s="122"/>
      <c r="H278" s="122"/>
      <c r="I278" s="122"/>
      <c r="J278" s="173"/>
      <c r="K278" s="181"/>
      <c r="L278" s="181"/>
      <c r="M278" s="181"/>
      <c r="N278" s="181"/>
      <c r="O278" s="181"/>
      <c r="P278" s="181"/>
      <c r="Q278" s="181"/>
      <c r="R278" s="181"/>
      <c r="S278" s="181"/>
      <c r="T278" s="181"/>
      <c r="U278" s="181"/>
      <c r="V278" s="181"/>
      <c r="W278" s="181"/>
      <c r="X278" s="181"/>
      <c r="Y278" s="181"/>
    </row>
    <row r="279" spans="1:25" ht="15.75" hidden="1" customHeight="1" x14ac:dyDescent="0.2">
      <c r="A279" s="181"/>
      <c r="B279" s="174"/>
      <c r="C279" s="175"/>
      <c r="D279" s="175"/>
      <c r="E279" s="175"/>
      <c r="F279" s="122"/>
      <c r="G279" s="122"/>
      <c r="H279" s="122"/>
      <c r="I279" s="122"/>
      <c r="J279" s="173"/>
      <c r="K279" s="181"/>
      <c r="L279" s="181"/>
      <c r="M279" s="181"/>
      <c r="N279" s="181"/>
      <c r="O279" s="181"/>
      <c r="P279" s="181"/>
      <c r="Q279" s="181"/>
      <c r="R279" s="181"/>
      <c r="S279" s="181"/>
      <c r="T279" s="181"/>
      <c r="U279" s="181"/>
      <c r="V279" s="181"/>
      <c r="W279" s="181"/>
      <c r="X279" s="181"/>
      <c r="Y279" s="181"/>
    </row>
    <row r="280" spans="1:25" ht="15.75" hidden="1" customHeight="1" x14ac:dyDescent="0.2">
      <c r="A280" s="181"/>
      <c r="B280" s="174"/>
      <c r="C280" s="175"/>
      <c r="D280" s="175"/>
      <c r="E280" s="175"/>
      <c r="F280" s="122"/>
      <c r="G280" s="122"/>
      <c r="H280" s="122"/>
      <c r="I280" s="122"/>
      <c r="J280" s="173"/>
      <c r="K280" s="181"/>
      <c r="L280" s="181"/>
      <c r="M280" s="181"/>
      <c r="N280" s="181"/>
      <c r="O280" s="181"/>
      <c r="P280" s="181"/>
      <c r="Q280" s="181"/>
      <c r="R280" s="181"/>
      <c r="S280" s="181"/>
      <c r="T280" s="181"/>
      <c r="U280" s="181"/>
      <c r="V280" s="181"/>
      <c r="W280" s="181"/>
      <c r="X280" s="181"/>
      <c r="Y280" s="181"/>
    </row>
    <row r="281" spans="1:25" ht="15.75" hidden="1" customHeight="1" x14ac:dyDescent="0.2">
      <c r="A281" s="181"/>
      <c r="B281" s="174"/>
      <c r="C281" s="175"/>
      <c r="D281" s="175"/>
      <c r="E281" s="175"/>
      <c r="F281" s="122"/>
      <c r="G281" s="122"/>
      <c r="H281" s="122"/>
      <c r="I281" s="122"/>
      <c r="J281" s="173"/>
      <c r="K281" s="181"/>
      <c r="L281" s="181"/>
      <c r="M281" s="181"/>
      <c r="N281" s="181"/>
      <c r="O281" s="181"/>
      <c r="P281" s="181"/>
      <c r="Q281" s="181"/>
      <c r="R281" s="181"/>
      <c r="S281" s="181"/>
      <c r="T281" s="181"/>
      <c r="U281" s="181"/>
      <c r="V281" s="181"/>
      <c r="W281" s="181"/>
      <c r="X281" s="181"/>
      <c r="Y281" s="181"/>
    </row>
    <row r="282" spans="1:25" ht="15.75" hidden="1" customHeight="1" x14ac:dyDescent="0.2">
      <c r="A282" s="181"/>
      <c r="B282" s="174"/>
      <c r="C282" s="175"/>
      <c r="D282" s="175"/>
      <c r="E282" s="175"/>
      <c r="F282" s="122"/>
      <c r="G282" s="122"/>
      <c r="H282" s="122"/>
      <c r="I282" s="122"/>
      <c r="J282" s="173"/>
      <c r="K282" s="181"/>
      <c r="L282" s="181"/>
      <c r="M282" s="181"/>
      <c r="N282" s="181"/>
      <c r="O282" s="181"/>
      <c r="P282" s="181"/>
      <c r="Q282" s="181"/>
      <c r="R282" s="181"/>
      <c r="S282" s="181"/>
      <c r="T282" s="181"/>
      <c r="U282" s="181"/>
      <c r="V282" s="181"/>
      <c r="W282" s="181"/>
      <c r="X282" s="181"/>
      <c r="Y282" s="181"/>
    </row>
    <row r="283" spans="1:25" ht="15.75" hidden="1" customHeight="1" x14ac:dyDescent="0.2">
      <c r="A283" s="181"/>
      <c r="B283" s="174"/>
      <c r="C283" s="175"/>
      <c r="D283" s="175"/>
      <c r="E283" s="175"/>
      <c r="F283" s="122"/>
      <c r="G283" s="122"/>
      <c r="H283" s="122"/>
      <c r="I283" s="122"/>
      <c r="J283" s="173"/>
      <c r="K283" s="181"/>
      <c r="L283" s="181"/>
      <c r="M283" s="181"/>
      <c r="N283" s="181"/>
      <c r="O283" s="181"/>
      <c r="P283" s="181"/>
      <c r="Q283" s="181"/>
      <c r="R283" s="181"/>
      <c r="S283" s="181"/>
      <c r="T283" s="181"/>
      <c r="U283" s="181"/>
      <c r="V283" s="181"/>
      <c r="W283" s="181"/>
      <c r="X283" s="181"/>
      <c r="Y283" s="181"/>
    </row>
    <row r="284" spans="1:25" ht="15.75" hidden="1" customHeight="1" x14ac:dyDescent="0.2">
      <c r="A284" s="181"/>
      <c r="B284" s="174"/>
      <c r="C284" s="175"/>
      <c r="D284" s="175"/>
      <c r="E284" s="175"/>
      <c r="F284" s="122"/>
      <c r="G284" s="122"/>
      <c r="H284" s="122"/>
      <c r="I284" s="122"/>
      <c r="J284" s="173"/>
      <c r="K284" s="181"/>
      <c r="L284" s="181"/>
      <c r="M284" s="181"/>
      <c r="N284" s="181"/>
      <c r="O284" s="181"/>
      <c r="P284" s="181"/>
      <c r="Q284" s="181"/>
      <c r="R284" s="181"/>
      <c r="S284" s="181"/>
      <c r="T284" s="181"/>
      <c r="U284" s="181"/>
      <c r="V284" s="181"/>
      <c r="W284" s="181"/>
      <c r="X284" s="181"/>
      <c r="Y284" s="181"/>
    </row>
    <row r="285" spans="1:25" ht="15.75" hidden="1" customHeight="1" x14ac:dyDescent="0.2">
      <c r="A285" s="181"/>
      <c r="B285" s="174"/>
      <c r="C285" s="175"/>
      <c r="D285" s="175"/>
      <c r="E285" s="175"/>
      <c r="F285" s="122"/>
      <c r="G285" s="122"/>
      <c r="H285" s="122"/>
      <c r="I285" s="122"/>
      <c r="J285" s="173"/>
      <c r="K285" s="181"/>
      <c r="L285" s="181"/>
      <c r="M285" s="181"/>
      <c r="N285" s="181"/>
      <c r="O285" s="181"/>
      <c r="P285" s="181"/>
      <c r="Q285" s="181"/>
      <c r="R285" s="181"/>
      <c r="S285" s="181"/>
      <c r="T285" s="181"/>
      <c r="U285" s="181"/>
      <c r="V285" s="181"/>
      <c r="W285" s="181"/>
      <c r="X285" s="181"/>
      <c r="Y285" s="181"/>
    </row>
    <row r="286" spans="1:25" ht="15.75" hidden="1" customHeight="1" x14ac:dyDescent="0.2">
      <c r="A286" s="181"/>
      <c r="B286" s="174"/>
      <c r="C286" s="175"/>
      <c r="D286" s="175"/>
      <c r="E286" s="175"/>
      <c r="F286" s="122"/>
      <c r="G286" s="122"/>
      <c r="H286" s="122"/>
      <c r="I286" s="122"/>
      <c r="J286" s="173"/>
      <c r="K286" s="181"/>
      <c r="L286" s="181"/>
      <c r="M286" s="181"/>
      <c r="N286" s="181"/>
      <c r="O286" s="181"/>
      <c r="P286" s="181"/>
      <c r="Q286" s="181"/>
      <c r="R286" s="181"/>
      <c r="S286" s="181"/>
      <c r="T286" s="181"/>
      <c r="U286" s="181"/>
      <c r="V286" s="181"/>
      <c r="W286" s="181"/>
      <c r="X286" s="181"/>
      <c r="Y286" s="181"/>
    </row>
    <row r="287" spans="1:25" ht="15.75" hidden="1" customHeight="1" x14ac:dyDescent="0.2">
      <c r="A287" s="181"/>
      <c r="B287" s="174"/>
      <c r="C287" s="175"/>
      <c r="D287" s="175"/>
      <c r="E287" s="175"/>
      <c r="F287" s="122"/>
      <c r="G287" s="122"/>
      <c r="H287" s="122"/>
      <c r="I287" s="122"/>
      <c r="J287" s="173"/>
      <c r="K287" s="181"/>
      <c r="L287" s="181"/>
      <c r="M287" s="181"/>
      <c r="N287" s="181"/>
      <c r="O287" s="181"/>
      <c r="P287" s="181"/>
      <c r="Q287" s="181"/>
      <c r="R287" s="181"/>
      <c r="S287" s="181"/>
      <c r="T287" s="181"/>
      <c r="U287" s="181"/>
      <c r="V287" s="181"/>
      <c r="W287" s="181"/>
      <c r="X287" s="181"/>
      <c r="Y287" s="181"/>
    </row>
    <row r="288" spans="1:25" ht="15.75" hidden="1" customHeight="1" x14ac:dyDescent="0.2">
      <c r="A288" s="181"/>
      <c r="B288" s="174"/>
      <c r="C288" s="175"/>
      <c r="D288" s="175"/>
      <c r="E288" s="175"/>
      <c r="F288" s="122"/>
      <c r="G288" s="122"/>
      <c r="H288" s="122"/>
      <c r="I288" s="122"/>
      <c r="J288" s="173"/>
      <c r="K288" s="181"/>
      <c r="L288" s="181"/>
      <c r="M288" s="181"/>
      <c r="N288" s="181"/>
      <c r="O288" s="181"/>
      <c r="P288" s="181"/>
      <c r="Q288" s="181"/>
      <c r="R288" s="181"/>
      <c r="S288" s="181"/>
      <c r="T288" s="181"/>
      <c r="U288" s="181"/>
      <c r="V288" s="181"/>
      <c r="W288" s="181"/>
      <c r="X288" s="181"/>
      <c r="Y288" s="181"/>
    </row>
    <row r="289" spans="1:25" ht="15.75" hidden="1" customHeight="1" x14ac:dyDescent="0.2">
      <c r="A289" s="181"/>
      <c r="B289" s="174"/>
      <c r="C289" s="175"/>
      <c r="D289" s="175"/>
      <c r="E289" s="175"/>
      <c r="F289" s="122"/>
      <c r="G289" s="122"/>
      <c r="H289" s="122"/>
      <c r="I289" s="122"/>
      <c r="J289" s="173"/>
      <c r="K289" s="181"/>
      <c r="L289" s="181"/>
      <c r="M289" s="181"/>
      <c r="N289" s="181"/>
      <c r="O289" s="181"/>
      <c r="P289" s="181"/>
      <c r="Q289" s="181"/>
      <c r="R289" s="181"/>
      <c r="S289" s="181"/>
      <c r="T289" s="181"/>
      <c r="U289" s="181"/>
      <c r="V289" s="181"/>
      <c r="W289" s="181"/>
      <c r="X289" s="181"/>
      <c r="Y289" s="181"/>
    </row>
    <row r="290" spans="1:25" ht="15.75" hidden="1" customHeight="1" x14ac:dyDescent="0.2">
      <c r="A290" s="181"/>
      <c r="B290" s="174"/>
      <c r="C290" s="175"/>
      <c r="D290" s="175"/>
      <c r="E290" s="175"/>
      <c r="F290" s="122"/>
      <c r="G290" s="122"/>
      <c r="H290" s="122"/>
      <c r="I290" s="122"/>
      <c r="J290" s="173"/>
      <c r="K290" s="181"/>
      <c r="L290" s="181"/>
      <c r="M290" s="181"/>
      <c r="N290" s="181"/>
      <c r="O290" s="181"/>
      <c r="P290" s="181"/>
      <c r="Q290" s="181"/>
      <c r="R290" s="181"/>
      <c r="S290" s="181"/>
      <c r="T290" s="181"/>
      <c r="U290" s="181"/>
      <c r="V290" s="181"/>
      <c r="W290" s="181"/>
      <c r="X290" s="181"/>
      <c r="Y290" s="181"/>
    </row>
    <row r="291" spans="1:25" ht="15.75" hidden="1" customHeight="1" x14ac:dyDescent="0.2">
      <c r="A291" s="181"/>
      <c r="B291" s="174"/>
      <c r="C291" s="175"/>
      <c r="D291" s="175"/>
      <c r="E291" s="175"/>
      <c r="F291" s="122"/>
      <c r="G291" s="122"/>
      <c r="H291" s="122"/>
      <c r="I291" s="122"/>
      <c r="J291" s="173"/>
      <c r="K291" s="181"/>
      <c r="L291" s="181"/>
      <c r="M291" s="181"/>
      <c r="N291" s="181"/>
      <c r="O291" s="181"/>
      <c r="P291" s="181"/>
      <c r="Q291" s="181"/>
      <c r="R291" s="181"/>
      <c r="S291" s="181"/>
      <c r="T291" s="181"/>
      <c r="U291" s="181"/>
      <c r="V291" s="181"/>
      <c r="W291" s="181"/>
      <c r="X291" s="181"/>
      <c r="Y291" s="181"/>
    </row>
    <row r="292" spans="1:25" ht="15.75" hidden="1" customHeight="1" x14ac:dyDescent="0.2">
      <c r="A292" s="181"/>
      <c r="B292" s="174"/>
      <c r="C292" s="175"/>
      <c r="D292" s="175"/>
      <c r="E292" s="175"/>
      <c r="F292" s="122"/>
      <c r="G292" s="122"/>
      <c r="H292" s="122"/>
      <c r="I292" s="122"/>
      <c r="J292" s="173"/>
      <c r="K292" s="181"/>
      <c r="L292" s="181"/>
      <c r="M292" s="181"/>
      <c r="N292" s="181"/>
      <c r="O292" s="181"/>
      <c r="P292" s="181"/>
      <c r="Q292" s="181"/>
      <c r="R292" s="181"/>
      <c r="S292" s="181"/>
      <c r="T292" s="181"/>
      <c r="U292" s="181"/>
      <c r="V292" s="181"/>
      <c r="W292" s="181"/>
      <c r="X292" s="181"/>
      <c r="Y292" s="181"/>
    </row>
    <row r="293" spans="1:25" ht="15.75" hidden="1" customHeight="1" x14ac:dyDescent="0.2">
      <c r="A293" s="181"/>
      <c r="B293" s="174"/>
      <c r="C293" s="175"/>
      <c r="D293" s="175"/>
      <c r="E293" s="175"/>
      <c r="F293" s="122"/>
      <c r="G293" s="122"/>
      <c r="H293" s="122"/>
      <c r="I293" s="122"/>
      <c r="J293" s="173"/>
      <c r="K293" s="181"/>
      <c r="L293" s="181"/>
      <c r="M293" s="181"/>
      <c r="N293" s="181"/>
      <c r="O293" s="181"/>
      <c r="P293" s="181"/>
      <c r="Q293" s="181"/>
      <c r="R293" s="181"/>
      <c r="S293" s="181"/>
      <c r="T293" s="181"/>
      <c r="U293" s="181"/>
      <c r="V293" s="181"/>
      <c r="W293" s="181"/>
      <c r="X293" s="181"/>
      <c r="Y293" s="181"/>
    </row>
    <row r="294" spans="1:25" ht="15.75" hidden="1" customHeight="1" x14ac:dyDescent="0.2">
      <c r="A294" s="181"/>
      <c r="B294" s="174"/>
      <c r="C294" s="175"/>
      <c r="D294" s="175"/>
      <c r="E294" s="175"/>
      <c r="F294" s="122"/>
      <c r="G294" s="122"/>
      <c r="H294" s="122"/>
      <c r="I294" s="122"/>
      <c r="J294" s="173"/>
      <c r="K294" s="181"/>
      <c r="L294" s="181"/>
      <c r="M294" s="181"/>
      <c r="N294" s="181"/>
      <c r="O294" s="181"/>
      <c r="P294" s="181"/>
      <c r="Q294" s="181"/>
      <c r="R294" s="181"/>
      <c r="S294" s="181"/>
      <c r="T294" s="181"/>
      <c r="U294" s="181"/>
      <c r="V294" s="181"/>
      <c r="W294" s="181"/>
      <c r="X294" s="181"/>
      <c r="Y294" s="181"/>
    </row>
    <row r="295" spans="1:25" ht="15.75" hidden="1" customHeight="1" x14ac:dyDescent="0.2">
      <c r="A295" s="181"/>
      <c r="B295" s="174"/>
      <c r="C295" s="175"/>
      <c r="D295" s="175"/>
      <c r="E295" s="175"/>
      <c r="F295" s="122"/>
      <c r="G295" s="122"/>
      <c r="H295" s="122"/>
      <c r="I295" s="122"/>
      <c r="J295" s="173"/>
      <c r="K295" s="181"/>
      <c r="L295" s="181"/>
      <c r="M295" s="181"/>
      <c r="N295" s="181"/>
      <c r="O295" s="181"/>
      <c r="P295" s="181"/>
      <c r="Q295" s="181"/>
      <c r="R295" s="181"/>
      <c r="S295" s="181"/>
      <c r="T295" s="181"/>
      <c r="U295" s="181"/>
      <c r="V295" s="181"/>
      <c r="W295" s="181"/>
      <c r="X295" s="181"/>
      <c r="Y295" s="181"/>
    </row>
    <row r="296" spans="1:25" ht="15.75" hidden="1" customHeight="1" x14ac:dyDescent="0.2">
      <c r="A296" s="181"/>
      <c r="B296" s="174"/>
      <c r="C296" s="175"/>
      <c r="D296" s="175"/>
      <c r="E296" s="175"/>
      <c r="F296" s="122"/>
      <c r="G296" s="122"/>
      <c r="H296" s="122"/>
      <c r="I296" s="122"/>
      <c r="J296" s="173"/>
      <c r="K296" s="181"/>
      <c r="L296" s="181"/>
      <c r="M296" s="181"/>
      <c r="N296" s="181"/>
      <c r="O296" s="181"/>
      <c r="P296" s="181"/>
      <c r="Q296" s="181"/>
      <c r="R296" s="181"/>
      <c r="S296" s="181"/>
      <c r="T296" s="181"/>
      <c r="U296" s="181"/>
      <c r="V296" s="181"/>
      <c r="W296" s="181"/>
      <c r="X296" s="181"/>
      <c r="Y296" s="181"/>
    </row>
    <row r="297" spans="1:25" ht="15.75" hidden="1" customHeight="1" x14ac:dyDescent="0.2">
      <c r="A297" s="181"/>
      <c r="B297" s="174"/>
      <c r="C297" s="175"/>
      <c r="D297" s="175"/>
      <c r="E297" s="175"/>
      <c r="F297" s="122"/>
      <c r="G297" s="122"/>
      <c r="H297" s="122"/>
      <c r="I297" s="122"/>
      <c r="J297" s="173"/>
      <c r="K297" s="181"/>
      <c r="L297" s="181"/>
      <c r="M297" s="181"/>
      <c r="N297" s="181"/>
      <c r="O297" s="181"/>
      <c r="P297" s="181"/>
      <c r="Q297" s="181"/>
      <c r="R297" s="181"/>
      <c r="S297" s="181"/>
      <c r="T297" s="181"/>
      <c r="U297" s="181"/>
      <c r="V297" s="181"/>
      <c r="W297" s="181"/>
      <c r="X297" s="181"/>
      <c r="Y297" s="181"/>
    </row>
    <row r="298" spans="1:25" ht="15.75" hidden="1" customHeight="1" x14ac:dyDescent="0.2">
      <c r="A298" s="181"/>
      <c r="B298" s="174"/>
      <c r="C298" s="175"/>
      <c r="D298" s="175"/>
      <c r="E298" s="175"/>
      <c r="F298" s="122"/>
      <c r="G298" s="122"/>
      <c r="H298" s="122"/>
      <c r="I298" s="122"/>
      <c r="J298" s="173"/>
      <c r="K298" s="181"/>
      <c r="L298" s="181"/>
      <c r="M298" s="181"/>
      <c r="N298" s="181"/>
      <c r="O298" s="181"/>
      <c r="P298" s="181"/>
      <c r="Q298" s="181"/>
      <c r="R298" s="181"/>
      <c r="S298" s="181"/>
      <c r="T298" s="181"/>
      <c r="U298" s="181"/>
      <c r="V298" s="181"/>
      <c r="W298" s="181"/>
      <c r="X298" s="181"/>
      <c r="Y298" s="181"/>
    </row>
    <row r="299" spans="1:25" ht="15.75" hidden="1" customHeight="1" x14ac:dyDescent="0.2">
      <c r="A299" s="181"/>
      <c r="B299" s="174"/>
      <c r="C299" s="175"/>
      <c r="D299" s="175"/>
      <c r="E299" s="175"/>
      <c r="F299" s="122"/>
      <c r="G299" s="122"/>
      <c r="H299" s="122"/>
      <c r="I299" s="122"/>
      <c r="J299" s="173"/>
      <c r="K299" s="181"/>
      <c r="L299" s="181"/>
      <c r="M299" s="181"/>
      <c r="N299" s="181"/>
      <c r="O299" s="181"/>
      <c r="P299" s="181"/>
      <c r="Q299" s="181"/>
      <c r="R299" s="181"/>
      <c r="S299" s="181"/>
      <c r="T299" s="181"/>
      <c r="U299" s="181"/>
      <c r="V299" s="181"/>
      <c r="W299" s="181"/>
      <c r="X299" s="181"/>
      <c r="Y299" s="181"/>
    </row>
    <row r="300" spans="1:25" ht="15.75" hidden="1" customHeight="1" x14ac:dyDescent="0.2">
      <c r="A300" s="181"/>
      <c r="B300" s="174"/>
      <c r="C300" s="175"/>
      <c r="D300" s="175"/>
      <c r="E300" s="175"/>
      <c r="F300" s="122"/>
      <c r="G300" s="122"/>
      <c r="H300" s="122"/>
      <c r="I300" s="122"/>
      <c r="J300" s="173"/>
      <c r="K300" s="181"/>
      <c r="L300" s="181"/>
      <c r="M300" s="181"/>
      <c r="N300" s="181"/>
      <c r="O300" s="181"/>
      <c r="P300" s="181"/>
      <c r="Q300" s="181"/>
      <c r="R300" s="181"/>
      <c r="S300" s="181"/>
      <c r="T300" s="181"/>
      <c r="U300" s="181"/>
      <c r="V300" s="181"/>
      <c r="W300" s="181"/>
      <c r="X300" s="181"/>
      <c r="Y300" s="181"/>
    </row>
    <row r="301" spans="1:25" ht="15.75" hidden="1" customHeight="1" x14ac:dyDescent="0.2">
      <c r="A301" s="181"/>
      <c r="B301" s="174"/>
      <c r="C301" s="175"/>
      <c r="D301" s="175"/>
      <c r="E301" s="175"/>
      <c r="F301" s="122"/>
      <c r="G301" s="122"/>
      <c r="H301" s="122"/>
      <c r="I301" s="122"/>
      <c r="J301" s="173"/>
      <c r="K301" s="181"/>
      <c r="L301" s="181"/>
      <c r="M301" s="181"/>
      <c r="N301" s="181"/>
      <c r="O301" s="181"/>
      <c r="P301" s="181"/>
      <c r="Q301" s="181"/>
      <c r="R301" s="181"/>
      <c r="S301" s="181"/>
      <c r="T301" s="181"/>
      <c r="U301" s="181"/>
      <c r="V301" s="181"/>
      <c r="W301" s="181"/>
      <c r="X301" s="181"/>
      <c r="Y301" s="181"/>
    </row>
    <row r="302" spans="1:25" ht="15.75" hidden="1" customHeight="1" x14ac:dyDescent="0.2">
      <c r="A302" s="181"/>
      <c r="B302" s="174"/>
      <c r="C302" s="175"/>
      <c r="D302" s="175"/>
      <c r="E302" s="175"/>
      <c r="F302" s="122"/>
      <c r="G302" s="122"/>
      <c r="H302" s="122"/>
      <c r="I302" s="122"/>
      <c r="J302" s="173"/>
      <c r="K302" s="181"/>
      <c r="L302" s="181"/>
      <c r="M302" s="181"/>
      <c r="N302" s="181"/>
      <c r="O302" s="181"/>
      <c r="P302" s="181"/>
      <c r="Q302" s="181"/>
      <c r="R302" s="181"/>
      <c r="S302" s="181"/>
      <c r="T302" s="181"/>
      <c r="U302" s="181"/>
      <c r="V302" s="181"/>
      <c r="W302" s="181"/>
      <c r="X302" s="181"/>
      <c r="Y302" s="181"/>
    </row>
    <row r="303" spans="1:25" ht="15.75" hidden="1" customHeight="1" x14ac:dyDescent="0.2">
      <c r="A303" s="181"/>
      <c r="B303" s="174"/>
      <c r="C303" s="175"/>
      <c r="D303" s="175"/>
      <c r="E303" s="175"/>
      <c r="F303" s="122"/>
      <c r="G303" s="122"/>
      <c r="H303" s="122"/>
      <c r="I303" s="122"/>
      <c r="J303" s="173"/>
      <c r="K303" s="181"/>
      <c r="L303" s="181"/>
      <c r="M303" s="181"/>
      <c r="N303" s="181"/>
      <c r="O303" s="181"/>
      <c r="P303" s="181"/>
      <c r="Q303" s="181"/>
      <c r="R303" s="181"/>
      <c r="S303" s="181"/>
      <c r="T303" s="181"/>
      <c r="U303" s="181"/>
      <c r="V303" s="181"/>
      <c r="W303" s="181"/>
      <c r="X303" s="181"/>
      <c r="Y303" s="181"/>
    </row>
    <row r="304" spans="1:25" ht="15.75" hidden="1" customHeight="1" x14ac:dyDescent="0.2">
      <c r="A304" s="181"/>
      <c r="B304" s="174"/>
      <c r="C304" s="175"/>
      <c r="D304" s="175"/>
      <c r="E304" s="175"/>
      <c r="F304" s="122"/>
      <c r="G304" s="122"/>
      <c r="H304" s="122"/>
      <c r="I304" s="122"/>
      <c r="J304" s="173"/>
      <c r="K304" s="181"/>
      <c r="L304" s="181"/>
      <c r="M304" s="181"/>
      <c r="N304" s="181"/>
      <c r="O304" s="181"/>
      <c r="P304" s="181"/>
      <c r="Q304" s="181"/>
      <c r="R304" s="181"/>
      <c r="S304" s="181"/>
      <c r="T304" s="181"/>
      <c r="U304" s="181"/>
      <c r="V304" s="181"/>
      <c r="W304" s="181"/>
      <c r="X304" s="181"/>
      <c r="Y304" s="181"/>
    </row>
    <row r="305" spans="1:25" ht="15.75" hidden="1" customHeight="1" x14ac:dyDescent="0.2">
      <c r="A305" s="181"/>
      <c r="B305" s="174"/>
      <c r="C305" s="175"/>
      <c r="D305" s="175"/>
      <c r="E305" s="175"/>
      <c r="F305" s="122"/>
      <c r="G305" s="122"/>
      <c r="H305" s="122"/>
      <c r="I305" s="122"/>
      <c r="J305" s="173"/>
      <c r="K305" s="181"/>
      <c r="L305" s="181"/>
      <c r="M305" s="181"/>
      <c r="N305" s="181"/>
      <c r="O305" s="181"/>
      <c r="P305" s="181"/>
      <c r="Q305" s="181"/>
      <c r="R305" s="181"/>
      <c r="S305" s="181"/>
      <c r="T305" s="181"/>
      <c r="U305" s="181"/>
      <c r="V305" s="181"/>
      <c r="W305" s="181"/>
      <c r="X305" s="181"/>
      <c r="Y305" s="181"/>
    </row>
    <row r="306" spans="1:25" ht="15.75" hidden="1" customHeight="1" x14ac:dyDescent="0.2">
      <c r="A306" s="181"/>
      <c r="B306" s="174"/>
      <c r="C306" s="175"/>
      <c r="D306" s="175"/>
      <c r="E306" s="175"/>
      <c r="F306" s="122"/>
      <c r="G306" s="122"/>
      <c r="H306" s="122"/>
      <c r="I306" s="122"/>
      <c r="J306" s="173"/>
      <c r="K306" s="181"/>
      <c r="L306" s="181"/>
      <c r="M306" s="181"/>
      <c r="N306" s="181"/>
      <c r="O306" s="181"/>
      <c r="P306" s="181"/>
      <c r="Q306" s="181"/>
      <c r="R306" s="181"/>
      <c r="S306" s="181"/>
      <c r="T306" s="181"/>
      <c r="U306" s="181"/>
      <c r="V306" s="181"/>
      <c r="W306" s="181"/>
      <c r="X306" s="181"/>
      <c r="Y306" s="181"/>
    </row>
    <row r="307" spans="1:25" ht="15.75" hidden="1" customHeight="1" x14ac:dyDescent="0.2">
      <c r="A307" s="181"/>
      <c r="B307" s="174"/>
      <c r="C307" s="175"/>
      <c r="D307" s="175"/>
      <c r="E307" s="175"/>
      <c r="F307" s="122"/>
      <c r="G307" s="122"/>
      <c r="H307" s="122"/>
      <c r="I307" s="122"/>
      <c r="J307" s="173"/>
      <c r="K307" s="181"/>
      <c r="L307" s="181"/>
      <c r="M307" s="181"/>
      <c r="N307" s="181"/>
      <c r="O307" s="181"/>
      <c r="P307" s="181"/>
      <c r="Q307" s="181"/>
      <c r="R307" s="181"/>
      <c r="S307" s="181"/>
      <c r="T307" s="181"/>
      <c r="U307" s="181"/>
      <c r="V307" s="181"/>
      <c r="W307" s="181"/>
      <c r="X307" s="181"/>
      <c r="Y307" s="181"/>
    </row>
    <row r="308" spans="1:25" ht="15.75" hidden="1" customHeight="1" x14ac:dyDescent="0.2">
      <c r="A308" s="181"/>
      <c r="B308" s="174"/>
      <c r="C308" s="175"/>
      <c r="D308" s="175"/>
      <c r="E308" s="175"/>
      <c r="F308" s="122"/>
      <c r="G308" s="122"/>
      <c r="H308" s="122"/>
      <c r="I308" s="122"/>
      <c r="J308" s="173"/>
      <c r="K308" s="181"/>
      <c r="L308" s="181"/>
      <c r="M308" s="181"/>
      <c r="N308" s="181"/>
      <c r="O308" s="181"/>
      <c r="P308" s="181"/>
      <c r="Q308" s="181"/>
      <c r="R308" s="181"/>
      <c r="S308" s="181"/>
      <c r="T308" s="181"/>
      <c r="U308" s="181"/>
      <c r="V308" s="181"/>
      <c r="W308" s="181"/>
      <c r="X308" s="181"/>
      <c r="Y308" s="181"/>
    </row>
    <row r="309" spans="1:25" ht="15.75" hidden="1" customHeight="1" x14ac:dyDescent="0.2">
      <c r="A309" s="181"/>
      <c r="B309" s="174"/>
      <c r="C309" s="175"/>
      <c r="D309" s="175"/>
      <c r="E309" s="175"/>
      <c r="F309" s="122"/>
      <c r="G309" s="122"/>
      <c r="H309" s="122"/>
      <c r="I309" s="122"/>
      <c r="J309" s="173"/>
      <c r="K309" s="181"/>
      <c r="L309" s="181"/>
      <c r="M309" s="181"/>
      <c r="N309" s="181"/>
      <c r="O309" s="181"/>
      <c r="P309" s="181"/>
      <c r="Q309" s="181"/>
      <c r="R309" s="181"/>
      <c r="S309" s="181"/>
      <c r="T309" s="181"/>
      <c r="U309" s="181"/>
      <c r="V309" s="181"/>
      <c r="W309" s="181"/>
      <c r="X309" s="181"/>
      <c r="Y309" s="181"/>
    </row>
    <row r="310" spans="1:25" ht="15.75" hidden="1" customHeight="1" x14ac:dyDescent="0.2">
      <c r="A310" s="181"/>
      <c r="B310" s="174"/>
      <c r="C310" s="175"/>
      <c r="D310" s="175"/>
      <c r="E310" s="175"/>
      <c r="F310" s="122"/>
      <c r="G310" s="122"/>
      <c r="H310" s="122"/>
      <c r="I310" s="122"/>
      <c r="J310" s="173"/>
      <c r="K310" s="181"/>
      <c r="L310" s="181"/>
      <c r="M310" s="181"/>
      <c r="N310" s="181"/>
      <c r="O310" s="181"/>
      <c r="P310" s="181"/>
      <c r="Q310" s="181"/>
      <c r="R310" s="181"/>
      <c r="S310" s="181"/>
      <c r="T310" s="181"/>
      <c r="U310" s="181"/>
      <c r="V310" s="181"/>
      <c r="W310" s="181"/>
      <c r="X310" s="181"/>
      <c r="Y310" s="181"/>
    </row>
    <row r="311" spans="1:25" ht="15.75" hidden="1" customHeight="1" x14ac:dyDescent="0.2">
      <c r="A311" s="181"/>
      <c r="B311" s="174"/>
      <c r="C311" s="175"/>
      <c r="D311" s="175"/>
      <c r="E311" s="175"/>
      <c r="F311" s="122"/>
      <c r="G311" s="122"/>
      <c r="H311" s="122"/>
      <c r="I311" s="122"/>
      <c r="J311" s="173"/>
      <c r="K311" s="181"/>
      <c r="L311" s="181"/>
      <c r="M311" s="181"/>
      <c r="N311" s="181"/>
      <c r="O311" s="181"/>
      <c r="P311" s="181"/>
      <c r="Q311" s="181"/>
      <c r="R311" s="181"/>
      <c r="S311" s="181"/>
      <c r="T311" s="181"/>
      <c r="U311" s="181"/>
      <c r="V311" s="181"/>
      <c r="W311" s="181"/>
      <c r="X311" s="181"/>
      <c r="Y311" s="181"/>
    </row>
    <row r="312" spans="1:25" ht="15.75" hidden="1" customHeight="1" x14ac:dyDescent="0.2">
      <c r="A312" s="181"/>
      <c r="B312" s="174"/>
      <c r="C312" s="175"/>
      <c r="D312" s="175"/>
      <c r="E312" s="175"/>
      <c r="F312" s="122"/>
      <c r="G312" s="122"/>
      <c r="H312" s="122"/>
      <c r="I312" s="122"/>
      <c r="J312" s="173"/>
      <c r="K312" s="181"/>
      <c r="L312" s="181"/>
      <c r="M312" s="181"/>
      <c r="N312" s="181"/>
      <c r="O312" s="181"/>
      <c r="P312" s="181"/>
      <c r="Q312" s="181"/>
      <c r="R312" s="181"/>
      <c r="S312" s="181"/>
      <c r="T312" s="181"/>
      <c r="U312" s="181"/>
      <c r="V312" s="181"/>
      <c r="W312" s="181"/>
      <c r="X312" s="181"/>
      <c r="Y312" s="181"/>
    </row>
    <row r="313" spans="1:25" ht="15.75" hidden="1" customHeight="1" x14ac:dyDescent="0.2">
      <c r="A313" s="181"/>
      <c r="B313" s="174"/>
      <c r="C313" s="175"/>
      <c r="D313" s="175"/>
      <c r="E313" s="175"/>
      <c r="F313" s="122"/>
      <c r="G313" s="122"/>
      <c r="H313" s="122"/>
      <c r="I313" s="122"/>
      <c r="J313" s="173"/>
      <c r="K313" s="181"/>
      <c r="L313" s="181"/>
      <c r="M313" s="181"/>
      <c r="N313" s="181"/>
      <c r="O313" s="181"/>
      <c r="P313" s="181"/>
      <c r="Q313" s="181"/>
      <c r="R313" s="181"/>
      <c r="S313" s="181"/>
      <c r="T313" s="181"/>
      <c r="U313" s="181"/>
      <c r="V313" s="181"/>
      <c r="W313" s="181"/>
      <c r="X313" s="181"/>
      <c r="Y313" s="181"/>
    </row>
    <row r="314" spans="1:25" ht="15.75" hidden="1" customHeight="1" x14ac:dyDescent="0.2">
      <c r="A314" s="181"/>
      <c r="B314" s="174"/>
      <c r="C314" s="175"/>
      <c r="D314" s="175"/>
      <c r="E314" s="175"/>
      <c r="F314" s="122"/>
      <c r="G314" s="122"/>
      <c r="H314" s="122"/>
      <c r="I314" s="122"/>
      <c r="J314" s="173"/>
      <c r="K314" s="181"/>
      <c r="L314" s="181"/>
      <c r="M314" s="181"/>
      <c r="N314" s="181"/>
      <c r="O314" s="181"/>
      <c r="P314" s="181"/>
      <c r="Q314" s="181"/>
      <c r="R314" s="181"/>
      <c r="S314" s="181"/>
      <c r="T314" s="181"/>
      <c r="U314" s="181"/>
      <c r="V314" s="181"/>
      <c r="W314" s="181"/>
      <c r="X314" s="181"/>
      <c r="Y314" s="181"/>
    </row>
    <row r="315" spans="1:25" ht="15.75" hidden="1" customHeight="1" x14ac:dyDescent="0.2">
      <c r="A315" s="181"/>
      <c r="B315" s="174"/>
      <c r="C315" s="175"/>
      <c r="D315" s="175"/>
      <c r="E315" s="175"/>
      <c r="F315" s="122"/>
      <c r="G315" s="122"/>
      <c r="H315" s="122"/>
      <c r="I315" s="122"/>
      <c r="J315" s="173"/>
      <c r="K315" s="181"/>
      <c r="L315" s="181"/>
      <c r="M315" s="181"/>
      <c r="N315" s="181"/>
      <c r="O315" s="181"/>
      <c r="P315" s="181"/>
      <c r="Q315" s="181"/>
      <c r="R315" s="181"/>
      <c r="S315" s="181"/>
      <c r="T315" s="181"/>
      <c r="U315" s="181"/>
      <c r="V315" s="181"/>
      <c r="W315" s="181"/>
      <c r="X315" s="181"/>
      <c r="Y315" s="181"/>
    </row>
    <row r="316" spans="1:25" ht="15.75" hidden="1" customHeight="1" x14ac:dyDescent="0.2">
      <c r="A316" s="181"/>
      <c r="B316" s="174"/>
      <c r="C316" s="175"/>
      <c r="D316" s="175"/>
      <c r="E316" s="175"/>
      <c r="F316" s="122"/>
      <c r="G316" s="122"/>
      <c r="H316" s="122"/>
      <c r="I316" s="122"/>
      <c r="J316" s="173"/>
      <c r="K316" s="181"/>
      <c r="L316" s="181"/>
      <c r="M316" s="181"/>
      <c r="N316" s="181"/>
      <c r="O316" s="181"/>
      <c r="P316" s="181"/>
      <c r="Q316" s="181"/>
      <c r="R316" s="181"/>
      <c r="S316" s="181"/>
      <c r="T316" s="181"/>
      <c r="U316" s="181"/>
      <c r="V316" s="181"/>
      <c r="W316" s="181"/>
      <c r="X316" s="181"/>
      <c r="Y316" s="181"/>
    </row>
    <row r="317" spans="1:25" ht="15.75" hidden="1" customHeight="1" x14ac:dyDescent="0.2">
      <c r="A317" s="181"/>
      <c r="B317" s="174"/>
      <c r="C317" s="175"/>
      <c r="D317" s="175"/>
      <c r="E317" s="175"/>
      <c r="F317" s="122"/>
      <c r="G317" s="122"/>
      <c r="H317" s="122"/>
      <c r="I317" s="122"/>
      <c r="J317" s="173"/>
      <c r="K317" s="181"/>
      <c r="L317" s="181"/>
      <c r="M317" s="181"/>
      <c r="N317" s="181"/>
      <c r="O317" s="181"/>
      <c r="P317" s="181"/>
      <c r="Q317" s="181"/>
      <c r="R317" s="181"/>
      <c r="S317" s="181"/>
      <c r="T317" s="181"/>
      <c r="U317" s="181"/>
      <c r="V317" s="181"/>
      <c r="W317" s="181"/>
      <c r="X317" s="181"/>
      <c r="Y317" s="181"/>
    </row>
    <row r="318" spans="1:25" ht="15.75" hidden="1" customHeight="1" x14ac:dyDescent="0.2">
      <c r="A318" s="181"/>
      <c r="B318" s="174"/>
      <c r="C318" s="175"/>
      <c r="D318" s="175"/>
      <c r="E318" s="175"/>
      <c r="F318" s="122"/>
      <c r="G318" s="122"/>
      <c r="H318" s="122"/>
      <c r="I318" s="122"/>
      <c r="J318" s="173"/>
      <c r="K318" s="181"/>
      <c r="L318" s="181"/>
      <c r="M318" s="181"/>
      <c r="N318" s="181"/>
      <c r="O318" s="181"/>
      <c r="P318" s="181"/>
      <c r="Q318" s="181"/>
      <c r="R318" s="181"/>
      <c r="S318" s="181"/>
      <c r="T318" s="181"/>
      <c r="U318" s="181"/>
      <c r="V318" s="181"/>
      <c r="W318" s="181"/>
      <c r="X318" s="181"/>
      <c r="Y318" s="181"/>
    </row>
    <row r="319" spans="1:25" ht="15.75" hidden="1" customHeight="1" x14ac:dyDescent="0.2">
      <c r="A319" s="181"/>
      <c r="B319" s="174"/>
      <c r="C319" s="175"/>
      <c r="D319" s="175"/>
      <c r="E319" s="175"/>
      <c r="F319" s="122"/>
      <c r="G319" s="122"/>
      <c r="H319" s="122"/>
      <c r="I319" s="122"/>
      <c r="J319" s="173"/>
      <c r="K319" s="181"/>
      <c r="L319" s="181"/>
      <c r="M319" s="181"/>
      <c r="N319" s="181"/>
      <c r="O319" s="181"/>
      <c r="P319" s="181"/>
      <c r="Q319" s="181"/>
      <c r="R319" s="181"/>
      <c r="S319" s="181"/>
      <c r="T319" s="181"/>
      <c r="U319" s="181"/>
      <c r="V319" s="181"/>
      <c r="W319" s="181"/>
      <c r="X319" s="181"/>
      <c r="Y319" s="181"/>
    </row>
    <row r="320" spans="1:25" ht="15.75" hidden="1" customHeight="1" x14ac:dyDescent="0.2">
      <c r="A320" s="181"/>
      <c r="B320" s="174"/>
      <c r="C320" s="175"/>
      <c r="D320" s="175"/>
      <c r="E320" s="175"/>
      <c r="F320" s="122"/>
      <c r="G320" s="122"/>
      <c r="H320" s="122"/>
      <c r="I320" s="122"/>
      <c r="J320" s="173"/>
      <c r="K320" s="181"/>
      <c r="L320" s="181"/>
      <c r="M320" s="181"/>
      <c r="N320" s="181"/>
      <c r="O320" s="181"/>
      <c r="P320" s="181"/>
      <c r="Q320" s="181"/>
      <c r="R320" s="181"/>
      <c r="S320" s="181"/>
      <c r="T320" s="181"/>
      <c r="U320" s="181"/>
      <c r="V320" s="181"/>
      <c r="W320" s="181"/>
      <c r="X320" s="181"/>
      <c r="Y320" s="181"/>
    </row>
    <row r="321" spans="1:25" ht="15.75" hidden="1" customHeight="1" x14ac:dyDescent="0.2">
      <c r="A321" s="181"/>
      <c r="B321" s="174"/>
      <c r="C321" s="175"/>
      <c r="D321" s="175"/>
      <c r="E321" s="175"/>
      <c r="F321" s="122"/>
      <c r="G321" s="122"/>
      <c r="H321" s="122"/>
      <c r="I321" s="122"/>
      <c r="J321" s="173"/>
      <c r="K321" s="181"/>
      <c r="L321" s="181"/>
      <c r="M321" s="181"/>
      <c r="N321" s="181"/>
      <c r="O321" s="181"/>
      <c r="P321" s="181"/>
      <c r="Q321" s="181"/>
      <c r="R321" s="181"/>
      <c r="S321" s="181"/>
      <c r="T321" s="181"/>
      <c r="U321" s="181"/>
      <c r="V321" s="181"/>
      <c r="W321" s="181"/>
      <c r="X321" s="181"/>
      <c r="Y321" s="181"/>
    </row>
    <row r="322" spans="1:25" ht="15.75" hidden="1" customHeight="1" x14ac:dyDescent="0.2">
      <c r="A322" s="181"/>
      <c r="B322" s="174"/>
      <c r="C322" s="175"/>
      <c r="D322" s="175"/>
      <c r="E322" s="175"/>
      <c r="F322" s="122"/>
      <c r="G322" s="122"/>
      <c r="H322" s="122"/>
      <c r="I322" s="122"/>
      <c r="J322" s="173"/>
      <c r="K322" s="181"/>
      <c r="L322" s="181"/>
      <c r="M322" s="181"/>
      <c r="N322" s="181"/>
      <c r="O322" s="181"/>
      <c r="P322" s="181"/>
      <c r="Q322" s="181"/>
      <c r="R322" s="181"/>
      <c r="S322" s="181"/>
      <c r="T322" s="181"/>
      <c r="U322" s="181"/>
      <c r="V322" s="181"/>
      <c r="W322" s="181"/>
      <c r="X322" s="181"/>
      <c r="Y322" s="181"/>
    </row>
    <row r="323" spans="1:25" ht="15.75" hidden="1" customHeight="1" x14ac:dyDescent="0.2">
      <c r="A323" s="181"/>
      <c r="B323" s="174"/>
      <c r="C323" s="175"/>
      <c r="D323" s="175"/>
      <c r="E323" s="175"/>
      <c r="F323" s="122"/>
      <c r="G323" s="122"/>
      <c r="H323" s="122"/>
      <c r="I323" s="122"/>
      <c r="J323" s="173"/>
      <c r="K323" s="181"/>
      <c r="L323" s="181"/>
      <c r="M323" s="181"/>
      <c r="N323" s="181"/>
      <c r="O323" s="181"/>
      <c r="P323" s="181"/>
      <c r="Q323" s="181"/>
      <c r="R323" s="181"/>
      <c r="S323" s="181"/>
      <c r="T323" s="181"/>
      <c r="U323" s="181"/>
      <c r="V323" s="181"/>
      <c r="W323" s="181"/>
      <c r="X323" s="181"/>
      <c r="Y323" s="181"/>
    </row>
    <row r="324" spans="1:25" ht="15.75" hidden="1" customHeight="1" x14ac:dyDescent="0.2">
      <c r="A324" s="181"/>
      <c r="B324" s="174"/>
      <c r="C324" s="175"/>
      <c r="D324" s="175"/>
      <c r="E324" s="175"/>
      <c r="F324" s="122"/>
      <c r="G324" s="122"/>
      <c r="H324" s="122"/>
      <c r="I324" s="122"/>
      <c r="J324" s="173"/>
      <c r="K324" s="181"/>
      <c r="L324" s="181"/>
      <c r="M324" s="181"/>
      <c r="N324" s="181"/>
      <c r="O324" s="181"/>
      <c r="P324" s="181"/>
      <c r="Q324" s="181"/>
      <c r="R324" s="181"/>
      <c r="S324" s="181"/>
      <c r="T324" s="181"/>
      <c r="U324" s="181"/>
      <c r="V324" s="181"/>
      <c r="W324" s="181"/>
      <c r="X324" s="181"/>
      <c r="Y324" s="181"/>
    </row>
    <row r="325" spans="1:25" ht="15.75" hidden="1" customHeight="1" x14ac:dyDescent="0.2">
      <c r="A325" s="181"/>
      <c r="B325" s="174"/>
      <c r="C325" s="175"/>
      <c r="D325" s="175"/>
      <c r="E325" s="175"/>
      <c r="F325" s="122"/>
      <c r="G325" s="122"/>
      <c r="H325" s="122"/>
      <c r="I325" s="122"/>
      <c r="J325" s="173"/>
      <c r="K325" s="181"/>
      <c r="L325" s="181"/>
      <c r="M325" s="181"/>
      <c r="N325" s="181"/>
      <c r="O325" s="181"/>
      <c r="P325" s="181"/>
      <c r="Q325" s="181"/>
      <c r="R325" s="181"/>
      <c r="S325" s="181"/>
      <c r="T325" s="181"/>
      <c r="U325" s="181"/>
      <c r="V325" s="181"/>
      <c r="W325" s="181"/>
      <c r="X325" s="181"/>
      <c r="Y325" s="181"/>
    </row>
    <row r="326" spans="1:25" ht="15.75" hidden="1" customHeight="1" x14ac:dyDescent="0.2">
      <c r="A326" s="181"/>
      <c r="B326" s="174"/>
      <c r="C326" s="175"/>
      <c r="D326" s="175"/>
      <c r="E326" s="175"/>
      <c r="F326" s="122"/>
      <c r="G326" s="122"/>
      <c r="H326" s="122"/>
      <c r="I326" s="122"/>
      <c r="J326" s="173"/>
      <c r="K326" s="181"/>
      <c r="L326" s="181"/>
      <c r="M326" s="181"/>
      <c r="N326" s="181"/>
      <c r="O326" s="181"/>
      <c r="P326" s="181"/>
      <c r="Q326" s="181"/>
      <c r="R326" s="181"/>
      <c r="S326" s="181"/>
      <c r="T326" s="181"/>
      <c r="U326" s="181"/>
      <c r="V326" s="181"/>
      <c r="W326" s="181"/>
      <c r="X326" s="181"/>
      <c r="Y326" s="181"/>
    </row>
    <row r="327" spans="1:25" ht="15.75" hidden="1" customHeight="1" x14ac:dyDescent="0.2">
      <c r="A327" s="181"/>
      <c r="B327" s="174"/>
      <c r="C327" s="175"/>
      <c r="D327" s="175"/>
      <c r="E327" s="175"/>
      <c r="F327" s="122"/>
      <c r="G327" s="122"/>
      <c r="H327" s="122"/>
      <c r="I327" s="122"/>
      <c r="J327" s="173"/>
      <c r="K327" s="181"/>
      <c r="L327" s="181"/>
      <c r="M327" s="181"/>
      <c r="N327" s="181"/>
      <c r="O327" s="181"/>
      <c r="P327" s="181"/>
      <c r="Q327" s="181"/>
      <c r="R327" s="181"/>
      <c r="S327" s="181"/>
      <c r="T327" s="181"/>
      <c r="U327" s="181"/>
      <c r="V327" s="181"/>
      <c r="W327" s="181"/>
      <c r="X327" s="181"/>
      <c r="Y327" s="181"/>
    </row>
    <row r="328" spans="1:25" ht="15.75" hidden="1" customHeight="1" x14ac:dyDescent="0.2">
      <c r="A328" s="181"/>
      <c r="B328" s="174"/>
      <c r="C328" s="175"/>
      <c r="D328" s="175"/>
      <c r="E328" s="175"/>
      <c r="F328" s="122"/>
      <c r="G328" s="122"/>
      <c r="H328" s="122"/>
      <c r="I328" s="122"/>
      <c r="J328" s="173"/>
      <c r="K328" s="181"/>
      <c r="L328" s="181"/>
      <c r="M328" s="181"/>
      <c r="N328" s="181"/>
      <c r="O328" s="181"/>
      <c r="P328" s="181"/>
      <c r="Q328" s="181"/>
      <c r="R328" s="181"/>
      <c r="S328" s="181"/>
      <c r="T328" s="181"/>
      <c r="U328" s="181"/>
      <c r="V328" s="181"/>
      <c r="W328" s="181"/>
      <c r="X328" s="181"/>
      <c r="Y328" s="181"/>
    </row>
    <row r="329" spans="1:25" ht="15.75" hidden="1" customHeight="1" x14ac:dyDescent="0.2">
      <c r="A329" s="181"/>
      <c r="B329" s="174"/>
      <c r="C329" s="175"/>
      <c r="D329" s="175"/>
      <c r="E329" s="175"/>
      <c r="F329" s="122"/>
      <c r="G329" s="122"/>
      <c r="H329" s="122"/>
      <c r="I329" s="122"/>
      <c r="J329" s="173"/>
      <c r="K329" s="181"/>
      <c r="L329" s="181"/>
      <c r="M329" s="181"/>
      <c r="N329" s="181"/>
      <c r="O329" s="181"/>
      <c r="P329" s="181"/>
      <c r="Q329" s="181"/>
      <c r="R329" s="181"/>
      <c r="S329" s="181"/>
      <c r="T329" s="181"/>
      <c r="U329" s="181"/>
      <c r="V329" s="181"/>
      <c r="W329" s="181"/>
      <c r="X329" s="181"/>
      <c r="Y329" s="181"/>
    </row>
    <row r="330" spans="1:25" ht="15.75" hidden="1" customHeight="1" x14ac:dyDescent="0.2">
      <c r="A330" s="181"/>
      <c r="B330" s="174"/>
      <c r="C330" s="175"/>
      <c r="D330" s="175"/>
      <c r="E330" s="175"/>
      <c r="F330" s="122"/>
      <c r="G330" s="122"/>
      <c r="H330" s="122"/>
      <c r="I330" s="122"/>
      <c r="J330" s="173"/>
      <c r="K330" s="181"/>
      <c r="L330" s="181"/>
      <c r="M330" s="181"/>
      <c r="N330" s="181"/>
      <c r="O330" s="181"/>
      <c r="P330" s="181"/>
      <c r="Q330" s="181"/>
      <c r="R330" s="181"/>
      <c r="S330" s="181"/>
      <c r="T330" s="181"/>
      <c r="U330" s="181"/>
      <c r="V330" s="181"/>
      <c r="W330" s="181"/>
      <c r="X330" s="181"/>
      <c r="Y330" s="181"/>
    </row>
    <row r="331" spans="1:25" ht="15.75" hidden="1" customHeight="1" x14ac:dyDescent="0.2">
      <c r="A331" s="181"/>
      <c r="B331" s="174"/>
      <c r="C331" s="175"/>
      <c r="D331" s="175"/>
      <c r="E331" s="175"/>
      <c r="F331" s="122"/>
      <c r="G331" s="122"/>
      <c r="H331" s="122"/>
      <c r="I331" s="122"/>
      <c r="J331" s="173"/>
      <c r="K331" s="181"/>
      <c r="L331" s="181"/>
      <c r="M331" s="181"/>
      <c r="N331" s="181"/>
      <c r="O331" s="181"/>
      <c r="P331" s="181"/>
      <c r="Q331" s="181"/>
      <c r="R331" s="181"/>
      <c r="S331" s="181"/>
      <c r="T331" s="181"/>
      <c r="U331" s="181"/>
      <c r="V331" s="181"/>
      <c r="W331" s="181"/>
      <c r="X331" s="181"/>
      <c r="Y331" s="181"/>
    </row>
    <row r="332" spans="1:25" ht="15.75" hidden="1" customHeight="1" x14ac:dyDescent="0.2">
      <c r="A332" s="181"/>
      <c r="B332" s="174"/>
      <c r="C332" s="175"/>
      <c r="D332" s="175"/>
      <c r="E332" s="175"/>
      <c r="F332" s="122"/>
      <c r="G332" s="122"/>
      <c r="H332" s="122"/>
      <c r="I332" s="122"/>
      <c r="J332" s="173"/>
      <c r="K332" s="181"/>
      <c r="L332" s="181"/>
      <c r="M332" s="181"/>
      <c r="N332" s="181"/>
      <c r="O332" s="181"/>
      <c r="P332" s="181"/>
      <c r="Q332" s="181"/>
      <c r="R332" s="181"/>
      <c r="S332" s="181"/>
      <c r="T332" s="181"/>
      <c r="U332" s="181"/>
      <c r="V332" s="181"/>
      <c r="W332" s="181"/>
      <c r="X332" s="181"/>
      <c r="Y332" s="181"/>
    </row>
    <row r="333" spans="1:25" ht="15.75" hidden="1" customHeight="1" x14ac:dyDescent="0.2">
      <c r="A333" s="181"/>
      <c r="B333" s="174"/>
      <c r="C333" s="175"/>
      <c r="D333" s="175"/>
      <c r="E333" s="175"/>
      <c r="F333" s="122"/>
      <c r="G333" s="122"/>
      <c r="H333" s="122"/>
      <c r="I333" s="122"/>
      <c r="J333" s="173"/>
      <c r="K333" s="181"/>
      <c r="L333" s="181"/>
      <c r="M333" s="181"/>
      <c r="N333" s="181"/>
      <c r="O333" s="181"/>
      <c r="P333" s="181"/>
      <c r="Q333" s="181"/>
      <c r="R333" s="181"/>
      <c r="S333" s="181"/>
      <c r="T333" s="181"/>
      <c r="U333" s="181"/>
      <c r="V333" s="181"/>
      <c r="W333" s="181"/>
      <c r="X333" s="181"/>
      <c r="Y333" s="181"/>
    </row>
    <row r="334" spans="1:25" ht="15.75" hidden="1" customHeight="1" x14ac:dyDescent="0.2">
      <c r="A334" s="181"/>
      <c r="B334" s="174"/>
      <c r="C334" s="175"/>
      <c r="D334" s="175"/>
      <c r="E334" s="175"/>
      <c r="F334" s="122"/>
      <c r="G334" s="122"/>
      <c r="H334" s="122"/>
      <c r="I334" s="122"/>
      <c r="J334" s="173"/>
      <c r="K334" s="181"/>
      <c r="L334" s="181"/>
      <c r="M334" s="181"/>
      <c r="N334" s="181"/>
      <c r="O334" s="181"/>
      <c r="P334" s="181"/>
      <c r="Q334" s="181"/>
      <c r="R334" s="181"/>
      <c r="S334" s="181"/>
      <c r="T334" s="181"/>
      <c r="U334" s="181"/>
      <c r="V334" s="181"/>
      <c r="W334" s="181"/>
      <c r="X334" s="181"/>
      <c r="Y334" s="181"/>
    </row>
    <row r="335" spans="1:25" ht="15.75" hidden="1" customHeight="1" x14ac:dyDescent="0.2">
      <c r="A335" s="181"/>
      <c r="B335" s="174"/>
      <c r="C335" s="175"/>
      <c r="D335" s="175"/>
      <c r="E335" s="175"/>
      <c r="F335" s="122"/>
      <c r="G335" s="122"/>
      <c r="H335" s="122"/>
      <c r="I335" s="122"/>
      <c r="J335" s="173"/>
      <c r="K335" s="181"/>
      <c r="L335" s="181"/>
      <c r="M335" s="181"/>
      <c r="N335" s="181"/>
      <c r="O335" s="181"/>
      <c r="P335" s="181"/>
      <c r="Q335" s="181"/>
      <c r="R335" s="181"/>
      <c r="S335" s="181"/>
      <c r="T335" s="181"/>
      <c r="U335" s="181"/>
      <c r="V335" s="181"/>
      <c r="W335" s="181"/>
      <c r="X335" s="181"/>
      <c r="Y335" s="181"/>
    </row>
    <row r="336" spans="1:25" ht="15.75" hidden="1" customHeight="1" x14ac:dyDescent="0.2">
      <c r="A336" s="181"/>
      <c r="B336" s="174"/>
      <c r="C336" s="175"/>
      <c r="D336" s="175"/>
      <c r="E336" s="175"/>
      <c r="F336" s="122"/>
      <c r="G336" s="122"/>
      <c r="H336" s="122"/>
      <c r="I336" s="122"/>
      <c r="J336" s="173"/>
      <c r="K336" s="181"/>
      <c r="L336" s="181"/>
      <c r="M336" s="181"/>
      <c r="N336" s="181"/>
      <c r="O336" s="181"/>
      <c r="P336" s="181"/>
      <c r="Q336" s="181"/>
      <c r="R336" s="181"/>
      <c r="S336" s="181"/>
      <c r="T336" s="181"/>
      <c r="U336" s="181"/>
      <c r="V336" s="181"/>
      <c r="W336" s="181"/>
      <c r="X336" s="181"/>
      <c r="Y336" s="181"/>
    </row>
    <row r="337" spans="1:25" ht="15.75" hidden="1" customHeight="1" x14ac:dyDescent="0.2">
      <c r="A337" s="181"/>
      <c r="B337" s="174"/>
      <c r="C337" s="175"/>
      <c r="D337" s="175"/>
      <c r="E337" s="175"/>
      <c r="F337" s="122"/>
      <c r="G337" s="122"/>
      <c r="H337" s="122"/>
      <c r="I337" s="122"/>
      <c r="J337" s="173"/>
      <c r="K337" s="181"/>
      <c r="L337" s="181"/>
      <c r="M337" s="181"/>
      <c r="N337" s="181"/>
      <c r="O337" s="181"/>
      <c r="P337" s="181"/>
      <c r="Q337" s="181"/>
      <c r="R337" s="181"/>
      <c r="S337" s="181"/>
      <c r="T337" s="181"/>
      <c r="U337" s="181"/>
      <c r="V337" s="181"/>
      <c r="W337" s="181"/>
      <c r="X337" s="181"/>
      <c r="Y337" s="181"/>
    </row>
    <row r="338" spans="1:25" ht="15.75" hidden="1" customHeight="1" x14ac:dyDescent="0.2">
      <c r="A338" s="181"/>
      <c r="B338" s="174"/>
      <c r="C338" s="175"/>
      <c r="D338" s="175"/>
      <c r="E338" s="175"/>
      <c r="F338" s="122"/>
      <c r="G338" s="122"/>
      <c r="H338" s="122"/>
      <c r="I338" s="122"/>
      <c r="J338" s="173"/>
      <c r="K338" s="181"/>
      <c r="L338" s="181"/>
      <c r="M338" s="181"/>
      <c r="N338" s="181"/>
      <c r="O338" s="181"/>
      <c r="P338" s="181"/>
      <c r="Q338" s="181"/>
      <c r="R338" s="181"/>
      <c r="S338" s="181"/>
      <c r="T338" s="181"/>
      <c r="U338" s="181"/>
      <c r="V338" s="181"/>
      <c r="W338" s="181"/>
      <c r="X338" s="181"/>
      <c r="Y338" s="181"/>
    </row>
    <row r="339" spans="1:25" ht="15.75" hidden="1" customHeight="1" x14ac:dyDescent="0.2">
      <c r="A339" s="181"/>
      <c r="B339" s="174"/>
      <c r="C339" s="175"/>
      <c r="D339" s="175"/>
      <c r="E339" s="175"/>
      <c r="F339" s="122"/>
      <c r="G339" s="122"/>
      <c r="H339" s="122"/>
      <c r="I339" s="122"/>
      <c r="J339" s="173"/>
      <c r="K339" s="181"/>
      <c r="L339" s="181"/>
      <c r="M339" s="181"/>
      <c r="N339" s="181"/>
      <c r="O339" s="181"/>
      <c r="P339" s="181"/>
      <c r="Q339" s="181"/>
      <c r="R339" s="181"/>
      <c r="S339" s="181"/>
      <c r="T339" s="181"/>
      <c r="U339" s="181"/>
      <c r="V339" s="181"/>
      <c r="W339" s="181"/>
      <c r="X339" s="181"/>
      <c r="Y339" s="181"/>
    </row>
    <row r="340" spans="1:25" ht="15.75" hidden="1" customHeight="1" x14ac:dyDescent="0.2">
      <c r="A340" s="181"/>
      <c r="B340" s="174"/>
      <c r="C340" s="175"/>
      <c r="D340" s="175"/>
      <c r="E340" s="175"/>
      <c r="F340" s="122"/>
      <c r="G340" s="122"/>
      <c r="H340" s="122"/>
      <c r="I340" s="122"/>
      <c r="J340" s="173"/>
      <c r="K340" s="181"/>
      <c r="L340" s="181"/>
      <c r="M340" s="181"/>
      <c r="N340" s="181"/>
      <c r="O340" s="181"/>
      <c r="P340" s="181"/>
      <c r="Q340" s="181"/>
      <c r="R340" s="181"/>
      <c r="S340" s="181"/>
      <c r="T340" s="181"/>
      <c r="U340" s="181"/>
      <c r="V340" s="181"/>
      <c r="W340" s="181"/>
      <c r="X340" s="181"/>
      <c r="Y340" s="181"/>
    </row>
    <row r="341" spans="1:25" ht="15.75" hidden="1" customHeight="1" x14ac:dyDescent="0.2">
      <c r="A341" s="181"/>
      <c r="B341" s="174"/>
      <c r="C341" s="175"/>
      <c r="D341" s="175"/>
      <c r="E341" s="175"/>
      <c r="F341" s="122"/>
      <c r="G341" s="122"/>
      <c r="H341" s="122"/>
      <c r="I341" s="122"/>
      <c r="J341" s="173"/>
      <c r="K341" s="181"/>
      <c r="L341" s="181"/>
      <c r="M341" s="181"/>
      <c r="N341" s="181"/>
      <c r="O341" s="181"/>
      <c r="P341" s="181"/>
      <c r="Q341" s="181"/>
      <c r="R341" s="181"/>
      <c r="S341" s="181"/>
      <c r="T341" s="181"/>
      <c r="U341" s="181"/>
      <c r="V341" s="181"/>
      <c r="W341" s="181"/>
      <c r="X341" s="181"/>
      <c r="Y341" s="181"/>
    </row>
    <row r="342" spans="1:25" ht="15.75" hidden="1" customHeight="1" x14ac:dyDescent="0.2">
      <c r="A342" s="181"/>
      <c r="B342" s="174"/>
      <c r="C342" s="175"/>
      <c r="D342" s="175"/>
      <c r="E342" s="175"/>
      <c r="F342" s="122"/>
      <c r="G342" s="122"/>
      <c r="H342" s="122"/>
      <c r="I342" s="122"/>
      <c r="J342" s="173"/>
      <c r="K342" s="181"/>
      <c r="L342" s="181"/>
      <c r="M342" s="181"/>
      <c r="N342" s="181"/>
      <c r="O342" s="181"/>
      <c r="P342" s="181"/>
      <c r="Q342" s="181"/>
      <c r="R342" s="181"/>
      <c r="S342" s="181"/>
      <c r="T342" s="181"/>
      <c r="U342" s="181"/>
      <c r="V342" s="181"/>
      <c r="W342" s="181"/>
      <c r="X342" s="181"/>
      <c r="Y342" s="181"/>
    </row>
    <row r="343" spans="1:25" ht="15.75" hidden="1" customHeight="1" x14ac:dyDescent="0.2">
      <c r="A343" s="181"/>
      <c r="B343" s="174"/>
      <c r="C343" s="175"/>
      <c r="D343" s="175"/>
      <c r="E343" s="175"/>
      <c r="F343" s="122"/>
      <c r="G343" s="122"/>
      <c r="H343" s="122"/>
      <c r="I343" s="122"/>
      <c r="J343" s="173"/>
      <c r="K343" s="181"/>
      <c r="L343" s="181"/>
      <c r="M343" s="181"/>
      <c r="N343" s="181"/>
      <c r="O343" s="181"/>
      <c r="P343" s="181"/>
      <c r="Q343" s="181"/>
      <c r="R343" s="181"/>
      <c r="S343" s="181"/>
      <c r="T343" s="181"/>
      <c r="U343" s="181"/>
      <c r="V343" s="181"/>
      <c r="W343" s="181"/>
      <c r="X343" s="181"/>
      <c r="Y343" s="181"/>
    </row>
    <row r="344" spans="1:25" ht="15.75" hidden="1" customHeight="1" x14ac:dyDescent="0.2">
      <c r="A344" s="181"/>
      <c r="B344" s="174"/>
      <c r="C344" s="175"/>
      <c r="D344" s="175"/>
      <c r="E344" s="175"/>
      <c r="F344" s="122"/>
      <c r="G344" s="122"/>
      <c r="H344" s="122"/>
      <c r="I344" s="122"/>
      <c r="J344" s="173"/>
      <c r="K344" s="181"/>
      <c r="L344" s="181"/>
      <c r="M344" s="181"/>
      <c r="N344" s="181"/>
      <c r="O344" s="181"/>
      <c r="P344" s="181"/>
      <c r="Q344" s="181"/>
      <c r="R344" s="181"/>
      <c r="S344" s="181"/>
      <c r="T344" s="181"/>
      <c r="U344" s="181"/>
      <c r="V344" s="181"/>
      <c r="W344" s="181"/>
      <c r="X344" s="181"/>
      <c r="Y344" s="181"/>
    </row>
    <row r="345" spans="1:25" ht="15.75" hidden="1" customHeight="1" x14ac:dyDescent="0.2">
      <c r="A345" s="181"/>
      <c r="B345" s="174"/>
      <c r="C345" s="175"/>
      <c r="D345" s="175"/>
      <c r="E345" s="175"/>
      <c r="F345" s="122"/>
      <c r="G345" s="122"/>
      <c r="H345" s="122"/>
      <c r="I345" s="122"/>
      <c r="J345" s="173"/>
      <c r="K345" s="181"/>
      <c r="L345" s="181"/>
      <c r="M345" s="181"/>
      <c r="N345" s="181"/>
      <c r="O345" s="181"/>
      <c r="P345" s="181"/>
      <c r="Q345" s="181"/>
      <c r="R345" s="181"/>
      <c r="S345" s="181"/>
      <c r="T345" s="181"/>
      <c r="U345" s="181"/>
      <c r="V345" s="181"/>
      <c r="W345" s="181"/>
      <c r="X345" s="181"/>
      <c r="Y345" s="181"/>
    </row>
    <row r="346" spans="1:25" ht="15.75" hidden="1" customHeight="1" x14ac:dyDescent="0.2">
      <c r="A346" s="181"/>
      <c r="B346" s="174"/>
      <c r="C346" s="175"/>
      <c r="D346" s="175"/>
      <c r="E346" s="175"/>
      <c r="F346" s="122"/>
      <c r="G346" s="122"/>
      <c r="H346" s="122"/>
      <c r="I346" s="122"/>
      <c r="J346" s="173"/>
      <c r="K346" s="181"/>
      <c r="L346" s="181"/>
      <c r="M346" s="181"/>
      <c r="N346" s="181"/>
      <c r="O346" s="181"/>
      <c r="P346" s="181"/>
      <c r="Q346" s="181"/>
      <c r="R346" s="181"/>
      <c r="S346" s="181"/>
      <c r="T346" s="181"/>
      <c r="U346" s="181"/>
      <c r="V346" s="181"/>
      <c r="W346" s="181"/>
      <c r="X346" s="181"/>
      <c r="Y346" s="181"/>
    </row>
    <row r="347" spans="1:25" ht="15.75" hidden="1" customHeight="1" x14ac:dyDescent="0.2">
      <c r="A347" s="181"/>
      <c r="B347" s="174"/>
      <c r="C347" s="175"/>
      <c r="D347" s="175"/>
      <c r="E347" s="175"/>
      <c r="F347" s="122"/>
      <c r="G347" s="122"/>
      <c r="H347" s="122"/>
      <c r="I347" s="122"/>
      <c r="J347" s="173"/>
      <c r="K347" s="181"/>
      <c r="L347" s="181"/>
      <c r="M347" s="181"/>
      <c r="N347" s="181"/>
      <c r="O347" s="181"/>
      <c r="P347" s="181"/>
      <c r="Q347" s="181"/>
      <c r="R347" s="181"/>
      <c r="S347" s="181"/>
      <c r="T347" s="181"/>
      <c r="U347" s="181"/>
      <c r="V347" s="181"/>
      <c r="W347" s="181"/>
      <c r="X347" s="181"/>
      <c r="Y347" s="181"/>
    </row>
    <row r="348" spans="1:25" ht="15.75" hidden="1" customHeight="1" x14ac:dyDescent="0.2">
      <c r="A348" s="181"/>
      <c r="B348" s="174"/>
      <c r="C348" s="175"/>
      <c r="D348" s="175"/>
      <c r="E348" s="175"/>
      <c r="F348" s="122"/>
      <c r="G348" s="122"/>
      <c r="H348" s="122"/>
      <c r="I348" s="122"/>
      <c r="J348" s="173"/>
      <c r="K348" s="181"/>
      <c r="L348" s="181"/>
      <c r="M348" s="181"/>
      <c r="N348" s="181"/>
      <c r="O348" s="181"/>
      <c r="P348" s="181"/>
      <c r="Q348" s="181"/>
      <c r="R348" s="181"/>
      <c r="S348" s="181"/>
      <c r="T348" s="181"/>
      <c r="U348" s="181"/>
      <c r="V348" s="181"/>
      <c r="W348" s="181"/>
      <c r="X348" s="181"/>
      <c r="Y348" s="181"/>
    </row>
    <row r="349" spans="1:25" ht="15.75" hidden="1" customHeight="1" x14ac:dyDescent="0.2">
      <c r="A349" s="181"/>
      <c r="B349" s="174"/>
      <c r="C349" s="175"/>
      <c r="D349" s="175"/>
      <c r="E349" s="175"/>
      <c r="F349" s="122"/>
      <c r="G349" s="122"/>
      <c r="H349" s="122"/>
      <c r="I349" s="122"/>
      <c r="J349" s="173"/>
      <c r="K349" s="181"/>
      <c r="L349" s="181"/>
      <c r="M349" s="181"/>
      <c r="N349" s="181"/>
      <c r="O349" s="181"/>
      <c r="P349" s="181"/>
      <c r="Q349" s="181"/>
      <c r="R349" s="181"/>
      <c r="S349" s="181"/>
      <c r="T349" s="181"/>
      <c r="U349" s="181"/>
      <c r="V349" s="181"/>
      <c r="W349" s="181"/>
      <c r="X349" s="181"/>
      <c r="Y349" s="181"/>
    </row>
    <row r="350" spans="1:25" ht="15.75" hidden="1" customHeight="1" x14ac:dyDescent="0.2">
      <c r="A350" s="181"/>
      <c r="B350" s="174"/>
      <c r="C350" s="175"/>
      <c r="D350" s="175"/>
      <c r="E350" s="175"/>
      <c r="F350" s="122"/>
      <c r="G350" s="122"/>
      <c r="H350" s="122"/>
      <c r="I350" s="122"/>
      <c r="J350" s="173"/>
      <c r="K350" s="181"/>
      <c r="L350" s="181"/>
      <c r="M350" s="181"/>
      <c r="N350" s="181"/>
      <c r="O350" s="181"/>
      <c r="P350" s="181"/>
      <c r="Q350" s="181"/>
      <c r="R350" s="181"/>
      <c r="S350" s="181"/>
      <c r="T350" s="181"/>
      <c r="U350" s="181"/>
      <c r="V350" s="181"/>
      <c r="W350" s="181"/>
      <c r="X350" s="181"/>
      <c r="Y350" s="181"/>
    </row>
    <row r="351" spans="1:25" ht="15.75" hidden="1" customHeight="1" x14ac:dyDescent="0.2">
      <c r="A351" s="181"/>
      <c r="B351" s="174"/>
      <c r="C351" s="175"/>
      <c r="D351" s="175"/>
      <c r="E351" s="175"/>
      <c r="F351" s="122"/>
      <c r="G351" s="122"/>
      <c r="H351" s="122"/>
      <c r="I351" s="122"/>
      <c r="J351" s="173"/>
      <c r="K351" s="181"/>
      <c r="L351" s="181"/>
      <c r="M351" s="181"/>
      <c r="N351" s="181"/>
      <c r="O351" s="181"/>
      <c r="P351" s="181"/>
      <c r="Q351" s="181"/>
      <c r="R351" s="181"/>
      <c r="S351" s="181"/>
      <c r="T351" s="181"/>
      <c r="U351" s="181"/>
      <c r="V351" s="181"/>
      <c r="W351" s="181"/>
      <c r="X351" s="181"/>
      <c r="Y351" s="181"/>
    </row>
    <row r="352" spans="1:25" ht="15.75" hidden="1" customHeight="1" x14ac:dyDescent="0.2">
      <c r="A352" s="181"/>
      <c r="B352" s="174"/>
      <c r="C352" s="175"/>
      <c r="D352" s="175"/>
      <c r="E352" s="175"/>
      <c r="F352" s="122"/>
      <c r="G352" s="122"/>
      <c r="H352" s="122"/>
      <c r="I352" s="122"/>
      <c r="J352" s="173"/>
      <c r="K352" s="181"/>
      <c r="L352" s="181"/>
      <c r="M352" s="181"/>
      <c r="N352" s="181"/>
      <c r="O352" s="181"/>
      <c r="P352" s="181"/>
      <c r="Q352" s="181"/>
      <c r="R352" s="181"/>
      <c r="S352" s="181"/>
      <c r="T352" s="181"/>
      <c r="U352" s="181"/>
      <c r="V352" s="181"/>
      <c r="W352" s="181"/>
      <c r="X352" s="181"/>
      <c r="Y352" s="181"/>
    </row>
    <row r="353" spans="1:25" ht="15.75" hidden="1" customHeight="1" x14ac:dyDescent="0.2">
      <c r="A353" s="181"/>
      <c r="B353" s="174"/>
      <c r="C353" s="175"/>
      <c r="D353" s="175"/>
      <c r="E353" s="175"/>
      <c r="F353" s="122"/>
      <c r="G353" s="122"/>
      <c r="H353" s="122"/>
      <c r="I353" s="122"/>
      <c r="J353" s="173"/>
      <c r="K353" s="181"/>
      <c r="L353" s="181"/>
      <c r="M353" s="181"/>
      <c r="N353" s="181"/>
      <c r="O353" s="181"/>
      <c r="P353" s="181"/>
      <c r="Q353" s="181"/>
      <c r="R353" s="181"/>
      <c r="S353" s="181"/>
      <c r="T353" s="181"/>
      <c r="U353" s="181"/>
      <c r="V353" s="181"/>
      <c r="W353" s="181"/>
      <c r="X353" s="181"/>
      <c r="Y353" s="181"/>
    </row>
    <row r="354" spans="1:25" ht="15.75" hidden="1" customHeight="1" x14ac:dyDescent="0.2">
      <c r="A354" s="181"/>
      <c r="B354" s="174"/>
      <c r="C354" s="175"/>
      <c r="D354" s="175"/>
      <c r="E354" s="175"/>
      <c r="F354" s="122"/>
      <c r="G354" s="122"/>
      <c r="H354" s="122"/>
      <c r="I354" s="122"/>
      <c r="J354" s="173"/>
      <c r="K354" s="181"/>
      <c r="L354" s="181"/>
      <c r="M354" s="181"/>
      <c r="N354" s="181"/>
      <c r="O354" s="181"/>
      <c r="P354" s="181"/>
      <c r="Q354" s="181"/>
      <c r="R354" s="181"/>
      <c r="S354" s="181"/>
      <c r="T354" s="181"/>
      <c r="U354" s="181"/>
      <c r="V354" s="181"/>
      <c r="W354" s="181"/>
      <c r="X354" s="181"/>
      <c r="Y354" s="181"/>
    </row>
    <row r="355" spans="1:25" ht="15.75" hidden="1" customHeight="1" x14ac:dyDescent="0.2">
      <c r="A355" s="181"/>
      <c r="B355" s="174"/>
      <c r="C355" s="175"/>
      <c r="D355" s="175"/>
      <c r="E355" s="175"/>
      <c r="F355" s="122"/>
      <c r="G355" s="122"/>
      <c r="H355" s="122"/>
      <c r="I355" s="122"/>
      <c r="J355" s="173"/>
      <c r="K355" s="181"/>
      <c r="L355" s="181"/>
      <c r="M355" s="181"/>
      <c r="N355" s="181"/>
      <c r="O355" s="181"/>
      <c r="P355" s="181"/>
      <c r="Q355" s="181"/>
      <c r="R355" s="181"/>
      <c r="S355" s="181"/>
      <c r="T355" s="181"/>
      <c r="U355" s="181"/>
      <c r="V355" s="181"/>
      <c r="W355" s="181"/>
      <c r="X355" s="181"/>
      <c r="Y355" s="181"/>
    </row>
    <row r="356" spans="1:25" ht="15.75" hidden="1" customHeight="1" x14ac:dyDescent="0.2">
      <c r="A356" s="181"/>
      <c r="B356" s="174"/>
      <c r="C356" s="175"/>
      <c r="D356" s="175"/>
      <c r="E356" s="175"/>
      <c r="F356" s="122"/>
      <c r="G356" s="122"/>
      <c r="H356" s="122"/>
      <c r="I356" s="122"/>
      <c r="J356" s="173"/>
      <c r="K356" s="181"/>
      <c r="L356" s="181"/>
      <c r="M356" s="181"/>
      <c r="N356" s="181"/>
      <c r="O356" s="181"/>
      <c r="P356" s="181"/>
      <c r="Q356" s="181"/>
      <c r="R356" s="181"/>
      <c r="S356" s="181"/>
      <c r="T356" s="181"/>
      <c r="U356" s="181"/>
      <c r="V356" s="181"/>
      <c r="W356" s="181"/>
      <c r="X356" s="181"/>
      <c r="Y356" s="181"/>
    </row>
    <row r="357" spans="1:25" ht="15.75" hidden="1" customHeight="1" x14ac:dyDescent="0.2">
      <c r="A357" s="181"/>
      <c r="B357" s="174"/>
      <c r="C357" s="175"/>
      <c r="D357" s="175"/>
      <c r="E357" s="175"/>
      <c r="F357" s="122"/>
      <c r="G357" s="122"/>
      <c r="H357" s="122"/>
      <c r="I357" s="122"/>
      <c r="J357" s="173"/>
      <c r="K357" s="181"/>
      <c r="L357" s="181"/>
      <c r="M357" s="181"/>
      <c r="N357" s="181"/>
      <c r="O357" s="181"/>
      <c r="P357" s="181"/>
      <c r="Q357" s="181"/>
      <c r="R357" s="181"/>
      <c r="S357" s="181"/>
      <c r="T357" s="181"/>
      <c r="U357" s="181"/>
      <c r="V357" s="181"/>
      <c r="W357" s="181"/>
      <c r="X357" s="181"/>
      <c r="Y357" s="181"/>
    </row>
    <row r="358" spans="1:25" ht="15.75" hidden="1" customHeight="1" x14ac:dyDescent="0.2">
      <c r="A358" s="181"/>
      <c r="B358" s="174"/>
      <c r="C358" s="175"/>
      <c r="D358" s="175"/>
      <c r="E358" s="175"/>
      <c r="F358" s="122"/>
      <c r="G358" s="122"/>
      <c r="H358" s="122"/>
      <c r="I358" s="122"/>
      <c r="J358" s="173"/>
      <c r="K358" s="181"/>
      <c r="L358" s="181"/>
      <c r="M358" s="181"/>
      <c r="N358" s="181"/>
      <c r="O358" s="181"/>
      <c r="P358" s="181"/>
      <c r="Q358" s="181"/>
      <c r="R358" s="181"/>
      <c r="S358" s="181"/>
      <c r="T358" s="181"/>
      <c r="U358" s="181"/>
      <c r="V358" s="181"/>
      <c r="W358" s="181"/>
      <c r="X358" s="181"/>
      <c r="Y358" s="181"/>
    </row>
    <row r="359" spans="1:25" ht="15.75" hidden="1" customHeight="1" x14ac:dyDescent="0.2">
      <c r="A359" s="181"/>
      <c r="B359" s="174"/>
      <c r="C359" s="175"/>
      <c r="D359" s="175"/>
      <c r="E359" s="175"/>
      <c r="F359" s="122"/>
      <c r="G359" s="122"/>
      <c r="H359" s="122"/>
      <c r="I359" s="122"/>
      <c r="J359" s="173"/>
      <c r="K359" s="181"/>
      <c r="L359" s="181"/>
      <c r="M359" s="181"/>
      <c r="N359" s="181"/>
      <c r="O359" s="181"/>
      <c r="P359" s="181"/>
      <c r="Q359" s="181"/>
      <c r="R359" s="181"/>
      <c r="S359" s="181"/>
      <c r="T359" s="181"/>
      <c r="U359" s="181"/>
      <c r="V359" s="181"/>
      <c r="W359" s="181"/>
      <c r="X359" s="181"/>
      <c r="Y359" s="181"/>
    </row>
    <row r="360" spans="1:25" ht="15.75" hidden="1" customHeight="1" x14ac:dyDescent="0.2">
      <c r="A360" s="181"/>
      <c r="B360" s="174"/>
      <c r="C360" s="175"/>
      <c r="D360" s="175"/>
      <c r="E360" s="175"/>
      <c r="F360" s="122"/>
      <c r="G360" s="122"/>
      <c r="H360" s="122"/>
      <c r="I360" s="122"/>
      <c r="J360" s="173"/>
      <c r="K360" s="181"/>
      <c r="L360" s="181"/>
      <c r="M360" s="181"/>
      <c r="N360" s="181"/>
      <c r="O360" s="181"/>
      <c r="P360" s="181"/>
      <c r="Q360" s="181"/>
      <c r="R360" s="181"/>
      <c r="S360" s="181"/>
      <c r="T360" s="181"/>
      <c r="U360" s="181"/>
      <c r="V360" s="181"/>
      <c r="W360" s="181"/>
      <c r="X360" s="181"/>
      <c r="Y360" s="181"/>
    </row>
    <row r="361" spans="1:25" ht="15.75" hidden="1" customHeight="1" x14ac:dyDescent="0.2">
      <c r="A361" s="181"/>
      <c r="B361" s="174"/>
      <c r="C361" s="175"/>
      <c r="D361" s="175"/>
      <c r="E361" s="175"/>
      <c r="F361" s="122"/>
      <c r="G361" s="122"/>
      <c r="H361" s="122"/>
      <c r="I361" s="122"/>
      <c r="J361" s="173"/>
      <c r="K361" s="181"/>
      <c r="L361" s="181"/>
      <c r="M361" s="181"/>
      <c r="N361" s="181"/>
      <c r="O361" s="181"/>
      <c r="P361" s="181"/>
      <c r="Q361" s="181"/>
      <c r="R361" s="181"/>
      <c r="S361" s="181"/>
      <c r="T361" s="181"/>
      <c r="U361" s="181"/>
      <c r="V361" s="181"/>
      <c r="W361" s="181"/>
      <c r="X361" s="181"/>
      <c r="Y361" s="181"/>
    </row>
    <row r="362" spans="1:25" ht="15.75" hidden="1" customHeight="1" x14ac:dyDescent="0.2">
      <c r="A362" s="181"/>
      <c r="B362" s="174"/>
      <c r="C362" s="175"/>
      <c r="D362" s="175"/>
      <c r="E362" s="175"/>
      <c r="F362" s="122"/>
      <c r="G362" s="122"/>
      <c r="H362" s="122"/>
      <c r="I362" s="122"/>
      <c r="J362" s="173"/>
      <c r="K362" s="181"/>
      <c r="L362" s="181"/>
      <c r="M362" s="181"/>
      <c r="N362" s="181"/>
      <c r="O362" s="181"/>
      <c r="P362" s="181"/>
      <c r="Q362" s="181"/>
      <c r="R362" s="181"/>
      <c r="S362" s="181"/>
      <c r="T362" s="181"/>
      <c r="U362" s="181"/>
      <c r="V362" s="181"/>
      <c r="W362" s="181"/>
      <c r="X362" s="181"/>
      <c r="Y362" s="181"/>
    </row>
    <row r="363" spans="1:25" ht="15.75" hidden="1" customHeight="1" x14ac:dyDescent="0.2">
      <c r="A363" s="181"/>
      <c r="B363" s="174"/>
      <c r="C363" s="175"/>
      <c r="D363" s="175"/>
      <c r="E363" s="175"/>
      <c r="F363" s="122"/>
      <c r="G363" s="122"/>
      <c r="H363" s="122"/>
      <c r="I363" s="122"/>
      <c r="J363" s="173"/>
      <c r="K363" s="181"/>
      <c r="L363" s="181"/>
      <c r="M363" s="181"/>
      <c r="N363" s="181"/>
      <c r="O363" s="181"/>
      <c r="P363" s="181"/>
      <c r="Q363" s="181"/>
      <c r="R363" s="181"/>
      <c r="S363" s="181"/>
      <c r="T363" s="181"/>
      <c r="U363" s="181"/>
      <c r="V363" s="181"/>
      <c r="W363" s="181"/>
      <c r="X363" s="181"/>
      <c r="Y363" s="181"/>
    </row>
    <row r="364" spans="1:25" ht="15.75" hidden="1" customHeight="1" x14ac:dyDescent="0.2">
      <c r="A364" s="181"/>
      <c r="B364" s="174"/>
      <c r="C364" s="175"/>
      <c r="D364" s="175"/>
      <c r="E364" s="175"/>
      <c r="F364" s="122"/>
      <c r="G364" s="122"/>
      <c r="H364" s="122"/>
      <c r="I364" s="122"/>
      <c r="J364" s="173"/>
      <c r="K364" s="181"/>
      <c r="L364" s="181"/>
      <c r="M364" s="181"/>
      <c r="N364" s="181"/>
      <c r="O364" s="181"/>
      <c r="P364" s="181"/>
      <c r="Q364" s="181"/>
      <c r="R364" s="181"/>
      <c r="S364" s="181"/>
      <c r="T364" s="181"/>
      <c r="U364" s="181"/>
      <c r="V364" s="181"/>
      <c r="W364" s="181"/>
      <c r="X364" s="181"/>
      <c r="Y364" s="181"/>
    </row>
    <row r="365" spans="1:25" ht="15.75" hidden="1" customHeight="1" x14ac:dyDescent="0.2">
      <c r="A365" s="181"/>
      <c r="B365" s="174"/>
      <c r="C365" s="175"/>
      <c r="D365" s="175"/>
      <c r="E365" s="175"/>
      <c r="F365" s="122"/>
      <c r="G365" s="122"/>
      <c r="H365" s="122"/>
      <c r="I365" s="122"/>
      <c r="J365" s="173"/>
      <c r="K365" s="181"/>
      <c r="L365" s="181"/>
      <c r="M365" s="181"/>
      <c r="N365" s="181"/>
      <c r="O365" s="181"/>
      <c r="P365" s="181"/>
      <c r="Q365" s="181"/>
      <c r="R365" s="181"/>
      <c r="S365" s="181"/>
      <c r="T365" s="181"/>
      <c r="U365" s="181"/>
      <c r="V365" s="181"/>
      <c r="W365" s="181"/>
      <c r="X365" s="181"/>
      <c r="Y365" s="181"/>
    </row>
    <row r="366" spans="1:25" ht="15.75" hidden="1" customHeight="1" x14ac:dyDescent="0.2">
      <c r="A366" s="181"/>
      <c r="B366" s="174"/>
      <c r="C366" s="175"/>
      <c r="D366" s="175"/>
      <c r="E366" s="175"/>
      <c r="F366" s="122"/>
      <c r="G366" s="122"/>
      <c r="H366" s="122"/>
      <c r="I366" s="122"/>
      <c r="J366" s="173"/>
      <c r="K366" s="181"/>
      <c r="L366" s="181"/>
      <c r="M366" s="181"/>
      <c r="N366" s="181"/>
      <c r="O366" s="181"/>
      <c r="P366" s="181"/>
      <c r="Q366" s="181"/>
      <c r="R366" s="181"/>
      <c r="S366" s="181"/>
      <c r="T366" s="181"/>
      <c r="U366" s="181"/>
      <c r="V366" s="181"/>
      <c r="W366" s="181"/>
      <c r="X366" s="181"/>
      <c r="Y366" s="181"/>
    </row>
    <row r="367" spans="1:25" ht="15.75" hidden="1" customHeight="1" x14ac:dyDescent="0.2">
      <c r="A367" s="181"/>
      <c r="B367" s="174"/>
      <c r="C367" s="175"/>
      <c r="D367" s="175"/>
      <c r="E367" s="175"/>
      <c r="F367" s="122"/>
      <c r="G367" s="122"/>
      <c r="H367" s="122"/>
      <c r="I367" s="122"/>
      <c r="J367" s="173"/>
      <c r="K367" s="181"/>
      <c r="L367" s="181"/>
      <c r="M367" s="181"/>
      <c r="N367" s="181"/>
      <c r="O367" s="181"/>
      <c r="P367" s="181"/>
      <c r="Q367" s="181"/>
      <c r="R367" s="181"/>
      <c r="S367" s="181"/>
      <c r="T367" s="181"/>
      <c r="U367" s="181"/>
      <c r="V367" s="181"/>
      <c r="W367" s="181"/>
      <c r="X367" s="181"/>
      <c r="Y367" s="181"/>
    </row>
    <row r="368" spans="1:25" ht="15.75" hidden="1" customHeight="1" x14ac:dyDescent="0.2">
      <c r="A368" s="181"/>
      <c r="B368" s="174"/>
      <c r="C368" s="175"/>
      <c r="D368" s="175"/>
      <c r="E368" s="175"/>
      <c r="F368" s="122"/>
      <c r="G368" s="122"/>
      <c r="H368" s="122"/>
      <c r="I368" s="122"/>
      <c r="J368" s="173"/>
      <c r="K368" s="181"/>
      <c r="L368" s="181"/>
      <c r="M368" s="181"/>
      <c r="N368" s="181"/>
      <c r="O368" s="181"/>
      <c r="P368" s="181"/>
      <c r="Q368" s="181"/>
      <c r="R368" s="181"/>
      <c r="S368" s="181"/>
      <c r="T368" s="181"/>
      <c r="U368" s="181"/>
      <c r="V368" s="181"/>
      <c r="W368" s="181"/>
      <c r="X368" s="181"/>
      <c r="Y368" s="181"/>
    </row>
    <row r="369" spans="1:25" ht="15.75" hidden="1" customHeight="1" x14ac:dyDescent="0.2">
      <c r="A369" s="181"/>
      <c r="B369" s="174"/>
      <c r="C369" s="175"/>
      <c r="D369" s="175"/>
      <c r="E369" s="175"/>
      <c r="F369" s="122"/>
      <c r="G369" s="122"/>
      <c r="H369" s="122"/>
      <c r="I369" s="122"/>
      <c r="J369" s="173"/>
      <c r="K369" s="181"/>
      <c r="L369" s="181"/>
      <c r="M369" s="181"/>
      <c r="N369" s="181"/>
      <c r="O369" s="181"/>
      <c r="P369" s="181"/>
      <c r="Q369" s="181"/>
      <c r="R369" s="181"/>
      <c r="S369" s="181"/>
      <c r="T369" s="181"/>
      <c r="U369" s="181"/>
      <c r="V369" s="181"/>
      <c r="W369" s="181"/>
      <c r="X369" s="181"/>
      <c r="Y369" s="181"/>
    </row>
    <row r="370" spans="1:25" ht="15.75" hidden="1" customHeight="1" x14ac:dyDescent="0.2">
      <c r="A370" s="181"/>
      <c r="B370" s="174"/>
      <c r="C370" s="175"/>
      <c r="D370" s="175"/>
      <c r="E370" s="175"/>
      <c r="F370" s="122"/>
      <c r="G370" s="122"/>
      <c r="H370" s="122"/>
      <c r="I370" s="122"/>
      <c r="J370" s="173"/>
      <c r="K370" s="181"/>
      <c r="L370" s="181"/>
      <c r="M370" s="181"/>
      <c r="N370" s="181"/>
      <c r="O370" s="181"/>
      <c r="P370" s="181"/>
      <c r="Q370" s="181"/>
      <c r="R370" s="181"/>
      <c r="S370" s="181"/>
      <c r="T370" s="181"/>
      <c r="U370" s="181"/>
      <c r="V370" s="181"/>
      <c r="W370" s="181"/>
      <c r="X370" s="181"/>
      <c r="Y370" s="181"/>
    </row>
    <row r="371" spans="1:25" ht="15.75" hidden="1" customHeight="1" x14ac:dyDescent="0.2">
      <c r="A371" s="181"/>
      <c r="B371" s="174"/>
      <c r="C371" s="175"/>
      <c r="D371" s="175"/>
      <c r="E371" s="175"/>
      <c r="F371" s="122"/>
      <c r="G371" s="122"/>
      <c r="H371" s="122"/>
      <c r="I371" s="122"/>
      <c r="J371" s="173"/>
      <c r="K371" s="181"/>
      <c r="L371" s="181"/>
      <c r="M371" s="181"/>
      <c r="N371" s="181"/>
      <c r="O371" s="181"/>
      <c r="P371" s="181"/>
      <c r="Q371" s="181"/>
      <c r="R371" s="181"/>
      <c r="S371" s="181"/>
      <c r="T371" s="181"/>
      <c r="U371" s="181"/>
      <c r="V371" s="181"/>
      <c r="W371" s="181"/>
      <c r="X371" s="181"/>
      <c r="Y371" s="181"/>
    </row>
    <row r="372" spans="1:25" ht="15.75" hidden="1" customHeight="1" x14ac:dyDescent="0.2">
      <c r="A372" s="181"/>
      <c r="B372" s="174"/>
      <c r="C372" s="175"/>
      <c r="D372" s="175"/>
      <c r="E372" s="175"/>
      <c r="F372" s="122"/>
      <c r="G372" s="122"/>
      <c r="H372" s="122"/>
      <c r="I372" s="122"/>
      <c r="J372" s="173"/>
      <c r="K372" s="181"/>
      <c r="L372" s="181"/>
      <c r="M372" s="181"/>
      <c r="N372" s="181"/>
      <c r="O372" s="181"/>
      <c r="P372" s="181"/>
      <c r="Q372" s="181"/>
      <c r="R372" s="181"/>
      <c r="S372" s="181"/>
      <c r="T372" s="181"/>
      <c r="U372" s="181"/>
      <c r="V372" s="181"/>
      <c r="W372" s="181"/>
      <c r="X372" s="181"/>
      <c r="Y372" s="181"/>
    </row>
    <row r="373" spans="1:25" ht="15.75" hidden="1" customHeight="1" x14ac:dyDescent="0.2">
      <c r="A373" s="181"/>
      <c r="B373" s="174"/>
      <c r="C373" s="175"/>
      <c r="D373" s="175"/>
      <c r="E373" s="175"/>
      <c r="F373" s="122"/>
      <c r="G373" s="122"/>
      <c r="H373" s="122"/>
      <c r="I373" s="122"/>
      <c r="J373" s="173"/>
      <c r="K373" s="181"/>
      <c r="L373" s="181"/>
      <c r="M373" s="181"/>
      <c r="N373" s="181"/>
      <c r="O373" s="181"/>
      <c r="P373" s="181"/>
      <c r="Q373" s="181"/>
      <c r="R373" s="181"/>
      <c r="S373" s="181"/>
      <c r="T373" s="181"/>
      <c r="U373" s="181"/>
      <c r="V373" s="181"/>
      <c r="W373" s="181"/>
      <c r="X373" s="181"/>
      <c r="Y373" s="181"/>
    </row>
    <row r="374" spans="1:25" ht="15.75" hidden="1" customHeight="1" x14ac:dyDescent="0.2">
      <c r="A374" s="181"/>
      <c r="B374" s="174"/>
      <c r="C374" s="175"/>
      <c r="D374" s="175"/>
      <c r="E374" s="175"/>
      <c r="F374" s="122"/>
      <c r="G374" s="122"/>
      <c r="H374" s="122"/>
      <c r="I374" s="122"/>
      <c r="J374" s="173"/>
      <c r="K374" s="181"/>
      <c r="L374" s="181"/>
      <c r="M374" s="181"/>
      <c r="N374" s="181"/>
      <c r="O374" s="181"/>
      <c r="P374" s="181"/>
      <c r="Q374" s="181"/>
      <c r="R374" s="181"/>
      <c r="S374" s="181"/>
      <c r="T374" s="181"/>
      <c r="U374" s="181"/>
      <c r="V374" s="181"/>
      <c r="W374" s="181"/>
      <c r="X374" s="181"/>
      <c r="Y374" s="181"/>
    </row>
    <row r="375" spans="1:25" ht="15.75" hidden="1" customHeight="1" x14ac:dyDescent="0.2">
      <c r="A375" s="181"/>
      <c r="B375" s="174"/>
      <c r="C375" s="175"/>
      <c r="D375" s="175"/>
      <c r="E375" s="175"/>
      <c r="F375" s="122"/>
      <c r="G375" s="122"/>
      <c r="H375" s="122"/>
      <c r="I375" s="122"/>
      <c r="J375" s="173"/>
      <c r="K375" s="181"/>
      <c r="L375" s="181"/>
      <c r="M375" s="181"/>
      <c r="N375" s="181"/>
      <c r="O375" s="181"/>
      <c r="P375" s="181"/>
      <c r="Q375" s="181"/>
      <c r="R375" s="181"/>
      <c r="S375" s="181"/>
      <c r="T375" s="181"/>
      <c r="U375" s="181"/>
      <c r="V375" s="181"/>
      <c r="W375" s="181"/>
      <c r="X375" s="181"/>
      <c r="Y375" s="181"/>
    </row>
    <row r="376" spans="1:25" ht="15.75" hidden="1" customHeight="1" x14ac:dyDescent="0.2">
      <c r="A376" s="181"/>
      <c r="B376" s="174"/>
      <c r="C376" s="175"/>
      <c r="D376" s="175"/>
      <c r="E376" s="175"/>
      <c r="F376" s="122"/>
      <c r="G376" s="122"/>
      <c r="H376" s="122"/>
      <c r="I376" s="122"/>
      <c r="J376" s="173"/>
      <c r="K376" s="181"/>
      <c r="L376" s="181"/>
      <c r="M376" s="181"/>
      <c r="N376" s="181"/>
      <c r="O376" s="181"/>
      <c r="P376" s="181"/>
      <c r="Q376" s="181"/>
      <c r="R376" s="181"/>
      <c r="S376" s="181"/>
      <c r="T376" s="181"/>
      <c r="U376" s="181"/>
      <c r="V376" s="181"/>
      <c r="W376" s="181"/>
      <c r="X376" s="181"/>
      <c r="Y376" s="181"/>
    </row>
    <row r="377" spans="1:25" ht="15.75" hidden="1" customHeight="1" x14ac:dyDescent="0.2">
      <c r="A377" s="181"/>
      <c r="B377" s="174"/>
      <c r="C377" s="175"/>
      <c r="D377" s="175"/>
      <c r="E377" s="175"/>
      <c r="F377" s="122"/>
      <c r="G377" s="122"/>
      <c r="H377" s="122"/>
      <c r="I377" s="122"/>
      <c r="J377" s="173"/>
      <c r="K377" s="181"/>
      <c r="L377" s="181"/>
      <c r="M377" s="181"/>
      <c r="N377" s="181"/>
      <c r="O377" s="181"/>
      <c r="P377" s="181"/>
      <c r="Q377" s="181"/>
      <c r="R377" s="181"/>
      <c r="S377" s="181"/>
      <c r="T377" s="181"/>
      <c r="U377" s="181"/>
      <c r="V377" s="181"/>
      <c r="W377" s="181"/>
      <c r="X377" s="181"/>
      <c r="Y377" s="181"/>
    </row>
    <row r="378" spans="1:25" ht="15.75" hidden="1" customHeight="1" x14ac:dyDescent="0.2">
      <c r="A378" s="181"/>
      <c r="B378" s="174"/>
      <c r="C378" s="175"/>
      <c r="D378" s="175"/>
      <c r="E378" s="175"/>
      <c r="F378" s="122"/>
      <c r="G378" s="122"/>
      <c r="H378" s="122"/>
      <c r="I378" s="122"/>
      <c r="J378" s="173"/>
      <c r="K378" s="181"/>
      <c r="L378" s="181"/>
      <c r="M378" s="181"/>
      <c r="N378" s="181"/>
      <c r="O378" s="181"/>
      <c r="P378" s="181"/>
      <c r="Q378" s="181"/>
      <c r="R378" s="181"/>
      <c r="S378" s="181"/>
      <c r="T378" s="181"/>
      <c r="U378" s="181"/>
      <c r="V378" s="181"/>
      <c r="W378" s="181"/>
      <c r="X378" s="181"/>
      <c r="Y378" s="181"/>
    </row>
    <row r="379" spans="1:25" ht="15.75" hidden="1" customHeight="1" x14ac:dyDescent="0.2">
      <c r="A379" s="181"/>
      <c r="B379" s="174"/>
      <c r="C379" s="175"/>
      <c r="D379" s="175"/>
      <c r="E379" s="175"/>
      <c r="F379" s="122"/>
      <c r="G379" s="122"/>
      <c r="H379" s="122"/>
      <c r="I379" s="122"/>
      <c r="J379" s="173"/>
      <c r="K379" s="181"/>
      <c r="L379" s="181"/>
      <c r="M379" s="181"/>
      <c r="N379" s="181"/>
      <c r="O379" s="181"/>
      <c r="P379" s="181"/>
      <c r="Q379" s="181"/>
      <c r="R379" s="181"/>
      <c r="S379" s="181"/>
      <c r="T379" s="181"/>
      <c r="U379" s="181"/>
      <c r="V379" s="181"/>
      <c r="W379" s="181"/>
      <c r="X379" s="181"/>
      <c r="Y379" s="181"/>
    </row>
    <row r="380" spans="1:25" ht="15.75" hidden="1" customHeight="1" x14ac:dyDescent="0.2">
      <c r="A380" s="181"/>
      <c r="B380" s="174"/>
      <c r="C380" s="175"/>
      <c r="D380" s="175"/>
      <c r="E380" s="175"/>
      <c r="F380" s="122"/>
      <c r="G380" s="122"/>
      <c r="H380" s="122"/>
      <c r="I380" s="122"/>
      <c r="J380" s="173"/>
      <c r="K380" s="181"/>
      <c r="L380" s="181"/>
      <c r="M380" s="181"/>
      <c r="N380" s="181"/>
      <c r="O380" s="181"/>
      <c r="P380" s="181"/>
      <c r="Q380" s="181"/>
      <c r="R380" s="181"/>
      <c r="S380" s="181"/>
      <c r="T380" s="181"/>
      <c r="U380" s="181"/>
      <c r="V380" s="181"/>
      <c r="W380" s="181"/>
      <c r="X380" s="181"/>
      <c r="Y380" s="181"/>
    </row>
    <row r="381" spans="1:25" ht="15.75" hidden="1" customHeight="1" x14ac:dyDescent="0.2">
      <c r="A381" s="181"/>
      <c r="B381" s="174"/>
      <c r="C381" s="175"/>
      <c r="D381" s="175"/>
      <c r="E381" s="175"/>
      <c r="F381" s="122"/>
      <c r="G381" s="122"/>
      <c r="H381" s="122"/>
      <c r="I381" s="122"/>
      <c r="J381" s="173"/>
      <c r="K381" s="181"/>
      <c r="L381" s="181"/>
      <c r="M381" s="181"/>
      <c r="N381" s="181"/>
      <c r="O381" s="181"/>
      <c r="P381" s="181"/>
      <c r="Q381" s="181"/>
      <c r="R381" s="181"/>
      <c r="S381" s="181"/>
      <c r="T381" s="181"/>
      <c r="U381" s="181"/>
      <c r="V381" s="181"/>
      <c r="W381" s="181"/>
      <c r="X381" s="181"/>
      <c r="Y381" s="181"/>
    </row>
    <row r="382" spans="1:25" ht="15.75" hidden="1" customHeight="1" x14ac:dyDescent="0.2">
      <c r="A382" s="181"/>
      <c r="B382" s="174"/>
      <c r="C382" s="175"/>
      <c r="D382" s="175"/>
      <c r="E382" s="175"/>
      <c r="F382" s="122"/>
      <c r="G382" s="122"/>
      <c r="H382" s="122"/>
      <c r="I382" s="122"/>
      <c r="J382" s="173"/>
      <c r="K382" s="181"/>
      <c r="L382" s="181"/>
      <c r="M382" s="181"/>
      <c r="N382" s="181"/>
      <c r="O382" s="181"/>
      <c r="P382" s="181"/>
      <c r="Q382" s="181"/>
      <c r="R382" s="181"/>
      <c r="S382" s="181"/>
      <c r="T382" s="181"/>
      <c r="U382" s="181"/>
      <c r="V382" s="181"/>
      <c r="W382" s="181"/>
      <c r="X382" s="181"/>
      <c r="Y382" s="181"/>
    </row>
    <row r="383" spans="1:25" ht="15.75" hidden="1" customHeight="1" x14ac:dyDescent="0.2">
      <c r="A383" s="181"/>
      <c r="B383" s="174"/>
      <c r="C383" s="175"/>
      <c r="D383" s="175"/>
      <c r="E383" s="175"/>
      <c r="F383" s="122"/>
      <c r="G383" s="122"/>
      <c r="H383" s="122"/>
      <c r="I383" s="122"/>
      <c r="J383" s="173"/>
      <c r="K383" s="181"/>
      <c r="L383" s="181"/>
      <c r="M383" s="181"/>
      <c r="N383" s="181"/>
      <c r="O383" s="181"/>
      <c r="P383" s="181"/>
      <c r="Q383" s="181"/>
      <c r="R383" s="181"/>
      <c r="S383" s="181"/>
      <c r="T383" s="181"/>
      <c r="U383" s="181"/>
      <c r="V383" s="181"/>
      <c r="W383" s="181"/>
      <c r="X383" s="181"/>
      <c r="Y383" s="181"/>
    </row>
    <row r="384" spans="1:25" ht="15.75" hidden="1" customHeight="1" x14ac:dyDescent="0.2">
      <c r="A384" s="181"/>
      <c r="B384" s="174"/>
      <c r="C384" s="175"/>
      <c r="D384" s="175"/>
      <c r="E384" s="175"/>
      <c r="F384" s="122"/>
      <c r="G384" s="122"/>
      <c r="H384" s="122"/>
      <c r="I384" s="122"/>
      <c r="J384" s="173"/>
      <c r="K384" s="181"/>
      <c r="L384" s="181"/>
      <c r="M384" s="181"/>
      <c r="N384" s="181"/>
      <c r="O384" s="181"/>
      <c r="P384" s="181"/>
      <c r="Q384" s="181"/>
      <c r="R384" s="181"/>
      <c r="S384" s="181"/>
      <c r="T384" s="181"/>
      <c r="U384" s="181"/>
      <c r="V384" s="181"/>
      <c r="W384" s="181"/>
      <c r="X384" s="181"/>
      <c r="Y384" s="181"/>
    </row>
    <row r="385" spans="1:25" ht="15.75" hidden="1" customHeight="1" x14ac:dyDescent="0.2">
      <c r="A385" s="181"/>
      <c r="B385" s="174"/>
      <c r="C385" s="175"/>
      <c r="D385" s="175"/>
      <c r="E385" s="175"/>
      <c r="F385" s="122"/>
      <c r="G385" s="122"/>
      <c r="H385" s="122"/>
      <c r="I385" s="122"/>
      <c r="J385" s="173"/>
      <c r="K385" s="181"/>
      <c r="L385" s="181"/>
      <c r="M385" s="181"/>
      <c r="N385" s="181"/>
      <c r="O385" s="181"/>
      <c r="P385" s="181"/>
      <c r="Q385" s="181"/>
      <c r="R385" s="181"/>
      <c r="S385" s="181"/>
      <c r="T385" s="181"/>
      <c r="U385" s="181"/>
      <c r="V385" s="181"/>
      <c r="W385" s="181"/>
      <c r="X385" s="181"/>
      <c r="Y385" s="181"/>
    </row>
    <row r="386" spans="1:25" ht="15.75" hidden="1" customHeight="1" x14ac:dyDescent="0.2">
      <c r="A386" s="181"/>
      <c r="B386" s="174"/>
      <c r="C386" s="175"/>
      <c r="D386" s="175"/>
      <c r="E386" s="175"/>
      <c r="F386" s="122"/>
      <c r="G386" s="122"/>
      <c r="H386" s="122"/>
      <c r="I386" s="122"/>
      <c r="J386" s="173"/>
      <c r="K386" s="181"/>
      <c r="L386" s="181"/>
      <c r="M386" s="181"/>
      <c r="N386" s="181"/>
      <c r="O386" s="181"/>
      <c r="P386" s="181"/>
      <c r="Q386" s="181"/>
      <c r="R386" s="181"/>
      <c r="S386" s="181"/>
      <c r="T386" s="181"/>
      <c r="U386" s="181"/>
      <c r="V386" s="181"/>
      <c r="W386" s="181"/>
      <c r="X386" s="181"/>
      <c r="Y386" s="181"/>
    </row>
    <row r="387" spans="1:25" ht="15.75" hidden="1" customHeight="1" x14ac:dyDescent="0.2">
      <c r="A387" s="181"/>
      <c r="B387" s="174"/>
      <c r="C387" s="175"/>
      <c r="D387" s="175"/>
      <c r="E387" s="175"/>
      <c r="F387" s="122"/>
      <c r="G387" s="122"/>
      <c r="H387" s="122"/>
      <c r="I387" s="122"/>
      <c r="J387" s="173"/>
      <c r="K387" s="181"/>
      <c r="L387" s="181"/>
      <c r="M387" s="181"/>
      <c r="N387" s="181"/>
      <c r="O387" s="181"/>
      <c r="P387" s="181"/>
      <c r="Q387" s="181"/>
      <c r="R387" s="181"/>
      <c r="S387" s="181"/>
      <c r="T387" s="181"/>
      <c r="U387" s="181"/>
      <c r="V387" s="181"/>
      <c r="W387" s="181"/>
      <c r="X387" s="181"/>
      <c r="Y387" s="181"/>
    </row>
    <row r="388" spans="1:25" ht="15.75" hidden="1" customHeight="1" x14ac:dyDescent="0.2">
      <c r="A388" s="181"/>
      <c r="B388" s="174"/>
      <c r="C388" s="175"/>
      <c r="D388" s="175"/>
      <c r="E388" s="175"/>
      <c r="F388" s="122"/>
      <c r="G388" s="122"/>
      <c r="H388" s="122"/>
      <c r="I388" s="122"/>
      <c r="J388" s="173"/>
      <c r="K388" s="181"/>
      <c r="L388" s="181"/>
      <c r="M388" s="181"/>
      <c r="N388" s="181"/>
      <c r="O388" s="181"/>
      <c r="P388" s="181"/>
      <c r="Q388" s="181"/>
      <c r="R388" s="181"/>
      <c r="S388" s="181"/>
      <c r="T388" s="181"/>
      <c r="U388" s="181"/>
      <c r="V388" s="181"/>
      <c r="W388" s="181"/>
      <c r="X388" s="181"/>
      <c r="Y388" s="181"/>
    </row>
    <row r="389" spans="1:25" ht="15.75" hidden="1" customHeight="1" x14ac:dyDescent="0.2">
      <c r="A389" s="181"/>
      <c r="B389" s="174"/>
      <c r="C389" s="175"/>
      <c r="D389" s="175"/>
      <c r="E389" s="175"/>
      <c r="F389" s="122"/>
      <c r="G389" s="122"/>
      <c r="H389" s="122"/>
      <c r="I389" s="122"/>
      <c r="J389" s="173"/>
      <c r="K389" s="181"/>
      <c r="L389" s="181"/>
      <c r="M389" s="181"/>
      <c r="N389" s="181"/>
      <c r="O389" s="181"/>
      <c r="P389" s="181"/>
      <c r="Q389" s="181"/>
      <c r="R389" s="181"/>
      <c r="S389" s="181"/>
      <c r="T389" s="181"/>
      <c r="U389" s="181"/>
      <c r="V389" s="181"/>
      <c r="W389" s="181"/>
      <c r="X389" s="181"/>
      <c r="Y389" s="181"/>
    </row>
    <row r="390" spans="1:25" ht="15.75" hidden="1" customHeight="1" x14ac:dyDescent="0.2">
      <c r="A390" s="181"/>
      <c r="B390" s="174"/>
      <c r="C390" s="175"/>
      <c r="D390" s="175"/>
      <c r="E390" s="175"/>
      <c r="F390" s="122"/>
      <c r="G390" s="122"/>
      <c r="H390" s="122"/>
      <c r="I390" s="122"/>
      <c r="J390" s="173"/>
      <c r="K390" s="181"/>
      <c r="L390" s="181"/>
      <c r="M390" s="181"/>
      <c r="N390" s="181"/>
      <c r="O390" s="181"/>
      <c r="P390" s="181"/>
      <c r="Q390" s="181"/>
      <c r="R390" s="181"/>
      <c r="S390" s="181"/>
      <c r="T390" s="181"/>
      <c r="U390" s="181"/>
      <c r="V390" s="181"/>
      <c r="W390" s="181"/>
      <c r="X390" s="181"/>
      <c r="Y390" s="181"/>
    </row>
    <row r="391" spans="1:25" ht="15.75" hidden="1" customHeight="1" x14ac:dyDescent="0.2">
      <c r="A391" s="181"/>
      <c r="B391" s="174"/>
      <c r="C391" s="175"/>
      <c r="D391" s="175"/>
      <c r="E391" s="175"/>
      <c r="F391" s="122"/>
      <c r="G391" s="122"/>
      <c r="H391" s="122"/>
      <c r="I391" s="122"/>
      <c r="J391" s="173"/>
      <c r="K391" s="181"/>
      <c r="L391" s="181"/>
      <c r="M391" s="181"/>
      <c r="N391" s="181"/>
      <c r="O391" s="181"/>
      <c r="P391" s="181"/>
      <c r="Q391" s="181"/>
      <c r="R391" s="181"/>
      <c r="S391" s="181"/>
      <c r="T391" s="181"/>
      <c r="U391" s="181"/>
      <c r="V391" s="181"/>
      <c r="W391" s="181"/>
      <c r="X391" s="181"/>
      <c r="Y391" s="181"/>
    </row>
    <row r="392" spans="1:25" ht="15.75" hidden="1" customHeight="1" x14ac:dyDescent="0.2">
      <c r="A392" s="181"/>
      <c r="B392" s="174"/>
      <c r="C392" s="175"/>
      <c r="D392" s="175"/>
      <c r="E392" s="175"/>
      <c r="F392" s="122"/>
      <c r="G392" s="122"/>
      <c r="H392" s="122"/>
      <c r="I392" s="122"/>
      <c r="J392" s="173"/>
      <c r="K392" s="181"/>
      <c r="L392" s="181"/>
      <c r="M392" s="181"/>
      <c r="N392" s="181"/>
      <c r="O392" s="181"/>
      <c r="P392" s="181"/>
      <c r="Q392" s="181"/>
      <c r="R392" s="181"/>
      <c r="S392" s="181"/>
      <c r="T392" s="181"/>
      <c r="U392" s="181"/>
      <c r="V392" s="181"/>
      <c r="W392" s="181"/>
      <c r="X392" s="181"/>
      <c r="Y392" s="181"/>
    </row>
    <row r="393" spans="1:25" ht="15.75" hidden="1" customHeight="1" x14ac:dyDescent="0.2">
      <c r="A393" s="181"/>
      <c r="B393" s="174"/>
      <c r="C393" s="175"/>
      <c r="D393" s="175"/>
      <c r="E393" s="175"/>
      <c r="F393" s="122"/>
      <c r="G393" s="122"/>
      <c r="H393" s="122"/>
      <c r="I393" s="122"/>
      <c r="J393" s="173"/>
      <c r="K393" s="181"/>
      <c r="L393" s="181"/>
      <c r="M393" s="181"/>
      <c r="N393" s="181"/>
      <c r="O393" s="181"/>
      <c r="P393" s="181"/>
      <c r="Q393" s="181"/>
      <c r="R393" s="181"/>
      <c r="S393" s="181"/>
      <c r="T393" s="181"/>
      <c r="U393" s="181"/>
      <c r="V393" s="181"/>
      <c r="W393" s="181"/>
      <c r="X393" s="181"/>
      <c r="Y393" s="181"/>
    </row>
    <row r="394" spans="1:25" ht="15.75" hidden="1" customHeight="1" x14ac:dyDescent="0.2">
      <c r="A394" s="181"/>
      <c r="B394" s="174"/>
      <c r="C394" s="175"/>
      <c r="D394" s="175"/>
      <c r="E394" s="175"/>
      <c r="F394" s="122"/>
      <c r="G394" s="122"/>
      <c r="H394" s="122"/>
      <c r="I394" s="122"/>
      <c r="J394" s="173"/>
      <c r="K394" s="181"/>
      <c r="L394" s="181"/>
      <c r="M394" s="181"/>
      <c r="N394" s="181"/>
      <c r="O394" s="181"/>
      <c r="P394" s="181"/>
      <c r="Q394" s="181"/>
      <c r="R394" s="181"/>
      <c r="S394" s="181"/>
      <c r="T394" s="181"/>
      <c r="U394" s="181"/>
      <c r="V394" s="181"/>
      <c r="W394" s="181"/>
      <c r="X394" s="181"/>
      <c r="Y394" s="181"/>
    </row>
    <row r="395" spans="1:25" ht="15.75" hidden="1" customHeight="1" x14ac:dyDescent="0.2">
      <c r="A395" s="181"/>
      <c r="B395" s="174"/>
      <c r="C395" s="175"/>
      <c r="D395" s="175"/>
      <c r="E395" s="175"/>
      <c r="F395" s="122"/>
      <c r="G395" s="122"/>
      <c r="H395" s="122"/>
      <c r="I395" s="122"/>
      <c r="J395" s="173"/>
      <c r="K395" s="181"/>
      <c r="L395" s="181"/>
      <c r="M395" s="181"/>
      <c r="N395" s="181"/>
      <c r="O395" s="181"/>
      <c r="P395" s="181"/>
      <c r="Q395" s="181"/>
      <c r="R395" s="181"/>
      <c r="S395" s="181"/>
      <c r="T395" s="181"/>
      <c r="U395" s="181"/>
      <c r="V395" s="181"/>
      <c r="W395" s="181"/>
      <c r="X395" s="181"/>
      <c r="Y395" s="181"/>
    </row>
    <row r="396" spans="1:25" ht="15.75" hidden="1" customHeight="1" x14ac:dyDescent="0.2">
      <c r="A396" s="181"/>
      <c r="B396" s="174"/>
      <c r="C396" s="175"/>
      <c r="D396" s="175"/>
      <c r="E396" s="175"/>
      <c r="F396" s="122"/>
      <c r="G396" s="122"/>
      <c r="H396" s="122"/>
      <c r="I396" s="122"/>
      <c r="J396" s="173"/>
      <c r="K396" s="181"/>
      <c r="L396" s="181"/>
      <c r="M396" s="181"/>
      <c r="N396" s="181"/>
      <c r="O396" s="181"/>
      <c r="P396" s="181"/>
      <c r="Q396" s="181"/>
      <c r="R396" s="181"/>
      <c r="S396" s="181"/>
      <c r="T396" s="181"/>
      <c r="U396" s="181"/>
      <c r="V396" s="181"/>
      <c r="W396" s="181"/>
      <c r="X396" s="181"/>
      <c r="Y396" s="181"/>
    </row>
    <row r="397" spans="1:25" ht="15.75" hidden="1" customHeight="1" x14ac:dyDescent="0.2">
      <c r="A397" s="181"/>
      <c r="B397" s="174"/>
      <c r="C397" s="175"/>
      <c r="D397" s="175"/>
      <c r="E397" s="175"/>
      <c r="F397" s="122"/>
      <c r="G397" s="122"/>
      <c r="H397" s="122"/>
      <c r="I397" s="122"/>
      <c r="J397" s="173"/>
      <c r="K397" s="181"/>
      <c r="L397" s="181"/>
      <c r="M397" s="181"/>
      <c r="N397" s="181"/>
      <c r="O397" s="181"/>
      <c r="P397" s="181"/>
      <c r="Q397" s="181"/>
      <c r="R397" s="181"/>
      <c r="S397" s="181"/>
      <c r="T397" s="181"/>
      <c r="U397" s="181"/>
      <c r="V397" s="181"/>
      <c r="W397" s="181"/>
      <c r="X397" s="181"/>
      <c r="Y397" s="181"/>
    </row>
    <row r="398" spans="1:25" ht="15.75" hidden="1" customHeight="1" x14ac:dyDescent="0.2">
      <c r="A398" s="181"/>
      <c r="B398" s="174"/>
      <c r="C398" s="175"/>
      <c r="D398" s="175"/>
      <c r="E398" s="175"/>
      <c r="F398" s="122"/>
      <c r="G398" s="122"/>
      <c r="H398" s="122"/>
      <c r="I398" s="122"/>
      <c r="J398" s="173"/>
      <c r="K398" s="181"/>
      <c r="L398" s="181"/>
      <c r="M398" s="181"/>
      <c r="N398" s="181"/>
      <c r="O398" s="181"/>
      <c r="P398" s="181"/>
      <c r="Q398" s="181"/>
      <c r="R398" s="181"/>
      <c r="S398" s="181"/>
      <c r="T398" s="181"/>
      <c r="U398" s="181"/>
      <c r="V398" s="181"/>
      <c r="W398" s="181"/>
      <c r="X398" s="181"/>
      <c r="Y398" s="181"/>
    </row>
    <row r="399" spans="1:25" ht="15.75" hidden="1" customHeight="1" x14ac:dyDescent="0.2">
      <c r="A399" s="181"/>
      <c r="B399" s="174"/>
      <c r="C399" s="175"/>
      <c r="D399" s="175"/>
      <c r="E399" s="175"/>
      <c r="F399" s="122"/>
      <c r="G399" s="122"/>
      <c r="H399" s="122"/>
      <c r="I399" s="122"/>
      <c r="J399" s="173"/>
      <c r="K399" s="181"/>
      <c r="L399" s="181"/>
      <c r="M399" s="181"/>
      <c r="N399" s="181"/>
      <c r="O399" s="181"/>
      <c r="P399" s="181"/>
      <c r="Q399" s="181"/>
      <c r="R399" s="181"/>
      <c r="S399" s="181"/>
      <c r="T399" s="181"/>
      <c r="U399" s="181"/>
      <c r="V399" s="181"/>
      <c r="W399" s="181"/>
      <c r="X399" s="181"/>
      <c r="Y399" s="181"/>
    </row>
    <row r="400" spans="1:25" ht="15.75" hidden="1" customHeight="1" x14ac:dyDescent="0.2">
      <c r="A400" s="181"/>
      <c r="B400" s="174"/>
      <c r="C400" s="175"/>
      <c r="D400" s="175"/>
      <c r="E400" s="175"/>
      <c r="F400" s="122"/>
      <c r="G400" s="122"/>
      <c r="H400" s="122"/>
      <c r="I400" s="122"/>
      <c r="J400" s="173"/>
      <c r="K400" s="181"/>
      <c r="L400" s="181"/>
      <c r="M400" s="181"/>
      <c r="N400" s="181"/>
      <c r="O400" s="181"/>
      <c r="P400" s="181"/>
      <c r="Q400" s="181"/>
      <c r="R400" s="181"/>
      <c r="S400" s="181"/>
      <c r="T400" s="181"/>
      <c r="U400" s="181"/>
      <c r="V400" s="181"/>
      <c r="W400" s="181"/>
      <c r="X400" s="181"/>
      <c r="Y400" s="181"/>
    </row>
    <row r="401" spans="1:25" ht="15.75" hidden="1" customHeight="1" x14ac:dyDescent="0.2">
      <c r="A401" s="181"/>
      <c r="B401" s="174"/>
      <c r="C401" s="175"/>
      <c r="D401" s="175"/>
      <c r="E401" s="175"/>
      <c r="F401" s="122"/>
      <c r="G401" s="122"/>
      <c r="H401" s="122"/>
      <c r="I401" s="122"/>
      <c r="J401" s="173"/>
      <c r="K401" s="181"/>
      <c r="L401" s="181"/>
      <c r="M401" s="181"/>
      <c r="N401" s="181"/>
      <c r="O401" s="181"/>
      <c r="P401" s="181"/>
      <c r="Q401" s="181"/>
      <c r="R401" s="181"/>
      <c r="S401" s="181"/>
      <c r="T401" s="181"/>
      <c r="U401" s="181"/>
      <c r="V401" s="181"/>
      <c r="W401" s="181"/>
      <c r="X401" s="181"/>
      <c r="Y401" s="181"/>
    </row>
    <row r="402" spans="1:25" ht="15.75" hidden="1" customHeight="1" x14ac:dyDescent="0.2">
      <c r="A402" s="181"/>
      <c r="B402" s="174"/>
      <c r="C402" s="175"/>
      <c r="D402" s="175"/>
      <c r="E402" s="175"/>
      <c r="F402" s="122"/>
      <c r="G402" s="122"/>
      <c r="H402" s="122"/>
      <c r="I402" s="122"/>
      <c r="J402" s="173"/>
      <c r="K402" s="181"/>
      <c r="L402" s="181"/>
      <c r="M402" s="181"/>
      <c r="N402" s="181"/>
      <c r="O402" s="181"/>
      <c r="P402" s="181"/>
      <c r="Q402" s="181"/>
      <c r="R402" s="181"/>
      <c r="S402" s="181"/>
      <c r="T402" s="181"/>
      <c r="U402" s="181"/>
      <c r="V402" s="181"/>
      <c r="W402" s="181"/>
      <c r="X402" s="181"/>
      <c r="Y402" s="181"/>
    </row>
    <row r="403" spans="1:25" ht="15.75" hidden="1" customHeight="1" x14ac:dyDescent="0.2">
      <c r="A403" s="181"/>
      <c r="B403" s="174"/>
      <c r="C403" s="175"/>
      <c r="D403" s="175"/>
      <c r="E403" s="175"/>
      <c r="F403" s="122"/>
      <c r="G403" s="122"/>
      <c r="H403" s="122"/>
      <c r="I403" s="122"/>
      <c r="J403" s="173"/>
      <c r="K403" s="181"/>
      <c r="L403" s="181"/>
      <c r="M403" s="181"/>
      <c r="N403" s="181"/>
      <c r="O403" s="181"/>
      <c r="P403" s="181"/>
      <c r="Q403" s="181"/>
      <c r="R403" s="181"/>
      <c r="S403" s="181"/>
      <c r="T403" s="181"/>
      <c r="U403" s="181"/>
      <c r="V403" s="181"/>
      <c r="W403" s="181"/>
      <c r="X403" s="181"/>
      <c r="Y403" s="181"/>
    </row>
    <row r="404" spans="1:25" ht="15.75" hidden="1" customHeight="1" x14ac:dyDescent="0.2">
      <c r="A404" s="181"/>
      <c r="B404" s="174"/>
      <c r="C404" s="175"/>
      <c r="D404" s="175"/>
      <c r="E404" s="175"/>
      <c r="F404" s="122"/>
      <c r="G404" s="122"/>
      <c r="H404" s="122"/>
      <c r="I404" s="122"/>
      <c r="J404" s="173"/>
      <c r="K404" s="181"/>
      <c r="L404" s="181"/>
      <c r="M404" s="181"/>
      <c r="N404" s="181"/>
      <c r="O404" s="181"/>
      <c r="P404" s="181"/>
      <c r="Q404" s="181"/>
      <c r="R404" s="181"/>
      <c r="S404" s="181"/>
      <c r="T404" s="181"/>
      <c r="U404" s="181"/>
      <c r="V404" s="181"/>
      <c r="W404" s="181"/>
      <c r="X404" s="181"/>
      <c r="Y404" s="181"/>
    </row>
    <row r="405" spans="1:25" ht="15.75" hidden="1" customHeight="1" x14ac:dyDescent="0.2">
      <c r="A405" s="181"/>
      <c r="B405" s="174"/>
      <c r="C405" s="175"/>
      <c r="D405" s="175"/>
      <c r="E405" s="175"/>
      <c r="F405" s="122"/>
      <c r="G405" s="122"/>
      <c r="H405" s="122"/>
      <c r="I405" s="122"/>
      <c r="J405" s="173"/>
      <c r="K405" s="181"/>
      <c r="L405" s="181"/>
      <c r="M405" s="181"/>
      <c r="N405" s="181"/>
      <c r="O405" s="181"/>
      <c r="P405" s="181"/>
      <c r="Q405" s="181"/>
      <c r="R405" s="181"/>
      <c r="S405" s="181"/>
      <c r="T405" s="181"/>
      <c r="U405" s="181"/>
      <c r="V405" s="181"/>
      <c r="W405" s="181"/>
      <c r="X405" s="181"/>
      <c r="Y405" s="181"/>
    </row>
    <row r="406" spans="1:25" ht="15.75" hidden="1" customHeight="1" x14ac:dyDescent="0.2">
      <c r="A406" s="181"/>
      <c r="B406" s="174"/>
      <c r="C406" s="175"/>
      <c r="D406" s="175"/>
      <c r="E406" s="175"/>
      <c r="F406" s="122"/>
      <c r="G406" s="122"/>
      <c r="H406" s="122"/>
      <c r="I406" s="122"/>
      <c r="J406" s="173"/>
      <c r="K406" s="181"/>
      <c r="L406" s="181"/>
      <c r="M406" s="181"/>
      <c r="N406" s="181"/>
      <c r="O406" s="181"/>
      <c r="P406" s="181"/>
      <c r="Q406" s="181"/>
      <c r="R406" s="181"/>
      <c r="S406" s="181"/>
      <c r="T406" s="181"/>
      <c r="U406" s="181"/>
      <c r="V406" s="181"/>
      <c r="W406" s="181"/>
      <c r="X406" s="181"/>
      <c r="Y406" s="181"/>
    </row>
    <row r="407" spans="1:25" ht="15.75" hidden="1" customHeight="1" x14ac:dyDescent="0.2">
      <c r="A407" s="181"/>
      <c r="B407" s="174"/>
      <c r="C407" s="175"/>
      <c r="D407" s="175"/>
      <c r="E407" s="175"/>
      <c r="F407" s="122"/>
      <c r="G407" s="122"/>
      <c r="H407" s="122"/>
      <c r="I407" s="122"/>
      <c r="J407" s="173"/>
      <c r="K407" s="181"/>
      <c r="L407" s="181"/>
      <c r="M407" s="181"/>
      <c r="N407" s="181"/>
      <c r="O407" s="181"/>
      <c r="P407" s="181"/>
      <c r="Q407" s="181"/>
      <c r="R407" s="181"/>
      <c r="S407" s="181"/>
      <c r="T407" s="181"/>
      <c r="U407" s="181"/>
      <c r="V407" s="181"/>
      <c r="W407" s="181"/>
      <c r="X407" s="181"/>
      <c r="Y407" s="181"/>
    </row>
    <row r="408" spans="1:25" ht="15.75" hidden="1" customHeight="1" x14ac:dyDescent="0.2">
      <c r="A408" s="181"/>
      <c r="B408" s="174"/>
      <c r="C408" s="175"/>
      <c r="D408" s="175"/>
      <c r="E408" s="175"/>
      <c r="F408" s="122"/>
      <c r="G408" s="122"/>
      <c r="H408" s="122"/>
      <c r="I408" s="122"/>
      <c r="J408" s="173"/>
      <c r="K408" s="181"/>
      <c r="L408" s="181"/>
      <c r="M408" s="181"/>
      <c r="N408" s="181"/>
      <c r="O408" s="181"/>
      <c r="P408" s="181"/>
      <c r="Q408" s="181"/>
      <c r="R408" s="181"/>
      <c r="S408" s="181"/>
      <c r="T408" s="181"/>
      <c r="U408" s="181"/>
      <c r="V408" s="181"/>
      <c r="W408" s="181"/>
      <c r="X408" s="181"/>
      <c r="Y408" s="181"/>
    </row>
    <row r="409" spans="1:25" ht="15.75" hidden="1" customHeight="1" x14ac:dyDescent="0.2">
      <c r="A409" s="181"/>
      <c r="B409" s="174"/>
      <c r="C409" s="175"/>
      <c r="D409" s="175"/>
      <c r="E409" s="175"/>
      <c r="F409" s="122"/>
      <c r="G409" s="122"/>
      <c r="H409" s="122"/>
      <c r="I409" s="122"/>
      <c r="J409" s="173"/>
      <c r="K409" s="181"/>
      <c r="L409" s="181"/>
      <c r="M409" s="181"/>
      <c r="N409" s="181"/>
      <c r="O409" s="181"/>
      <c r="P409" s="181"/>
      <c r="Q409" s="181"/>
      <c r="R409" s="181"/>
      <c r="S409" s="181"/>
      <c r="T409" s="181"/>
      <c r="U409" s="181"/>
      <c r="V409" s="181"/>
      <c r="W409" s="181"/>
      <c r="X409" s="181"/>
      <c r="Y409" s="181"/>
    </row>
    <row r="410" spans="1:25" ht="15.75" hidden="1" customHeight="1" x14ac:dyDescent="0.2">
      <c r="A410" s="181"/>
      <c r="B410" s="174"/>
      <c r="C410" s="175"/>
      <c r="D410" s="175"/>
      <c r="E410" s="175"/>
      <c r="F410" s="122"/>
      <c r="G410" s="122"/>
      <c r="H410" s="122"/>
      <c r="I410" s="122"/>
      <c r="J410" s="173"/>
      <c r="K410" s="181"/>
      <c r="L410" s="181"/>
      <c r="M410" s="181"/>
      <c r="N410" s="181"/>
      <c r="O410" s="181"/>
      <c r="P410" s="181"/>
      <c r="Q410" s="181"/>
      <c r="R410" s="181"/>
      <c r="S410" s="181"/>
      <c r="T410" s="181"/>
      <c r="U410" s="181"/>
      <c r="V410" s="181"/>
      <c r="W410" s="181"/>
      <c r="X410" s="181"/>
      <c r="Y410" s="181"/>
    </row>
    <row r="411" spans="1:25" ht="15.75" hidden="1" customHeight="1" x14ac:dyDescent="0.2">
      <c r="A411" s="181"/>
      <c r="B411" s="174"/>
      <c r="C411" s="175"/>
      <c r="D411" s="175"/>
      <c r="E411" s="175"/>
      <c r="F411" s="122"/>
      <c r="G411" s="122"/>
      <c r="H411" s="122"/>
      <c r="I411" s="122"/>
      <c r="J411" s="173"/>
      <c r="K411" s="181"/>
      <c r="L411" s="181"/>
      <c r="M411" s="181"/>
      <c r="N411" s="181"/>
      <c r="O411" s="181"/>
      <c r="P411" s="181"/>
      <c r="Q411" s="181"/>
      <c r="R411" s="181"/>
      <c r="S411" s="181"/>
      <c r="T411" s="181"/>
      <c r="U411" s="181"/>
      <c r="V411" s="181"/>
      <c r="W411" s="181"/>
      <c r="X411" s="181"/>
      <c r="Y411" s="181"/>
    </row>
    <row r="412" spans="1:25" ht="15.75" hidden="1" customHeight="1" x14ac:dyDescent="0.2">
      <c r="A412" s="181"/>
      <c r="B412" s="174"/>
      <c r="C412" s="175"/>
      <c r="D412" s="175"/>
      <c r="E412" s="175"/>
      <c r="F412" s="122"/>
      <c r="G412" s="122"/>
      <c r="H412" s="122"/>
      <c r="I412" s="122"/>
      <c r="J412" s="173"/>
      <c r="K412" s="181"/>
      <c r="L412" s="181"/>
      <c r="M412" s="181"/>
      <c r="N412" s="181"/>
      <c r="O412" s="181"/>
      <c r="P412" s="181"/>
      <c r="Q412" s="181"/>
      <c r="R412" s="181"/>
      <c r="S412" s="181"/>
      <c r="T412" s="181"/>
      <c r="U412" s="181"/>
      <c r="V412" s="181"/>
      <c r="W412" s="181"/>
      <c r="X412" s="181"/>
      <c r="Y412" s="181"/>
    </row>
    <row r="413" spans="1:25" ht="15.75" hidden="1" customHeight="1" x14ac:dyDescent="0.2">
      <c r="A413" s="181"/>
      <c r="B413" s="174"/>
      <c r="C413" s="175"/>
      <c r="D413" s="175"/>
      <c r="E413" s="175"/>
      <c r="F413" s="122"/>
      <c r="G413" s="122"/>
      <c r="H413" s="122"/>
      <c r="I413" s="122"/>
      <c r="J413" s="173"/>
      <c r="K413" s="181"/>
      <c r="L413" s="181"/>
      <c r="M413" s="181"/>
      <c r="N413" s="181"/>
      <c r="O413" s="181"/>
      <c r="P413" s="181"/>
      <c r="Q413" s="181"/>
      <c r="R413" s="181"/>
      <c r="S413" s="181"/>
      <c r="T413" s="181"/>
      <c r="U413" s="181"/>
      <c r="V413" s="181"/>
      <c r="W413" s="181"/>
      <c r="X413" s="181"/>
      <c r="Y413" s="181"/>
    </row>
    <row r="414" spans="1:25" ht="15.75" hidden="1" customHeight="1" x14ac:dyDescent="0.2">
      <c r="A414" s="181"/>
      <c r="B414" s="174"/>
      <c r="C414" s="175"/>
      <c r="D414" s="175"/>
      <c r="E414" s="175"/>
      <c r="F414" s="122"/>
      <c r="G414" s="122"/>
      <c r="H414" s="122"/>
      <c r="I414" s="122"/>
      <c r="J414" s="173"/>
      <c r="K414" s="181"/>
      <c r="L414" s="181"/>
      <c r="M414" s="181"/>
      <c r="N414" s="181"/>
      <c r="O414" s="181"/>
      <c r="P414" s="181"/>
      <c r="Q414" s="181"/>
      <c r="R414" s="181"/>
      <c r="S414" s="181"/>
      <c r="T414" s="181"/>
      <c r="U414" s="181"/>
      <c r="V414" s="181"/>
      <c r="W414" s="181"/>
      <c r="X414" s="181"/>
      <c r="Y414" s="181"/>
    </row>
    <row r="415" spans="1:25" ht="15.75" hidden="1" customHeight="1" x14ac:dyDescent="0.2">
      <c r="A415" s="181"/>
      <c r="B415" s="174"/>
      <c r="C415" s="175"/>
      <c r="D415" s="175"/>
      <c r="E415" s="175"/>
      <c r="F415" s="122"/>
      <c r="G415" s="122"/>
      <c r="H415" s="122"/>
      <c r="I415" s="122"/>
      <c r="J415" s="173"/>
      <c r="K415" s="181"/>
      <c r="L415" s="181"/>
      <c r="M415" s="181"/>
      <c r="N415" s="181"/>
      <c r="O415" s="181"/>
      <c r="P415" s="181"/>
      <c r="Q415" s="181"/>
      <c r="R415" s="181"/>
      <c r="S415" s="181"/>
      <c r="T415" s="181"/>
      <c r="U415" s="181"/>
      <c r="V415" s="181"/>
      <c r="W415" s="181"/>
      <c r="X415" s="181"/>
      <c r="Y415" s="181"/>
    </row>
    <row r="416" spans="1:25" ht="15.75" hidden="1" customHeight="1" x14ac:dyDescent="0.2">
      <c r="A416" s="181"/>
      <c r="B416" s="174"/>
      <c r="C416" s="175"/>
      <c r="D416" s="175"/>
      <c r="E416" s="175"/>
      <c r="F416" s="122"/>
      <c r="G416" s="122"/>
      <c r="H416" s="122"/>
      <c r="I416" s="122"/>
      <c r="J416" s="173"/>
      <c r="K416" s="181"/>
      <c r="L416" s="181"/>
      <c r="M416" s="181"/>
      <c r="N416" s="181"/>
      <c r="O416" s="181"/>
      <c r="P416" s="181"/>
      <c r="Q416" s="181"/>
      <c r="R416" s="181"/>
      <c r="S416" s="181"/>
      <c r="T416" s="181"/>
      <c r="U416" s="181"/>
      <c r="V416" s="181"/>
      <c r="W416" s="181"/>
      <c r="X416" s="181"/>
      <c r="Y416" s="181"/>
    </row>
    <row r="417" spans="1:25" ht="15.75" hidden="1" customHeight="1" x14ac:dyDescent="0.2">
      <c r="A417" s="181"/>
      <c r="B417" s="174"/>
      <c r="C417" s="175"/>
      <c r="D417" s="175"/>
      <c r="E417" s="175"/>
      <c r="F417" s="122"/>
      <c r="G417" s="122"/>
      <c r="H417" s="122"/>
      <c r="I417" s="122"/>
      <c r="J417" s="173"/>
      <c r="K417" s="181"/>
      <c r="L417" s="181"/>
      <c r="M417" s="181"/>
      <c r="N417" s="181"/>
      <c r="O417" s="181"/>
      <c r="P417" s="181"/>
      <c r="Q417" s="181"/>
      <c r="R417" s="181"/>
      <c r="S417" s="181"/>
      <c r="T417" s="181"/>
      <c r="U417" s="181"/>
      <c r="V417" s="181"/>
      <c r="W417" s="181"/>
      <c r="X417" s="181"/>
      <c r="Y417" s="181"/>
    </row>
    <row r="418" spans="1:25" ht="15.75" hidden="1" customHeight="1" x14ac:dyDescent="0.2">
      <c r="A418" s="181"/>
      <c r="B418" s="174"/>
      <c r="C418" s="175"/>
      <c r="D418" s="175"/>
      <c r="E418" s="175"/>
      <c r="F418" s="122"/>
      <c r="G418" s="122"/>
      <c r="H418" s="122"/>
      <c r="I418" s="122"/>
      <c r="J418" s="173"/>
      <c r="K418" s="181"/>
      <c r="L418" s="181"/>
      <c r="M418" s="181"/>
      <c r="N418" s="181"/>
      <c r="O418" s="181"/>
      <c r="P418" s="181"/>
      <c r="Q418" s="181"/>
      <c r="R418" s="181"/>
      <c r="S418" s="181"/>
      <c r="T418" s="181"/>
      <c r="U418" s="181"/>
      <c r="V418" s="181"/>
      <c r="W418" s="181"/>
      <c r="X418" s="181"/>
      <c r="Y418" s="181"/>
    </row>
    <row r="419" spans="1:25" ht="15.75" hidden="1" customHeight="1" x14ac:dyDescent="0.2">
      <c r="A419" s="181"/>
      <c r="B419" s="174"/>
      <c r="C419" s="175"/>
      <c r="D419" s="175"/>
      <c r="E419" s="175"/>
      <c r="F419" s="122"/>
      <c r="G419" s="122"/>
      <c r="H419" s="122"/>
      <c r="I419" s="122"/>
      <c r="J419" s="173"/>
      <c r="K419" s="181"/>
      <c r="L419" s="181"/>
      <c r="M419" s="181"/>
      <c r="N419" s="181"/>
      <c r="O419" s="181"/>
      <c r="P419" s="181"/>
      <c r="Q419" s="181"/>
      <c r="R419" s="181"/>
      <c r="S419" s="181"/>
      <c r="T419" s="181"/>
      <c r="U419" s="181"/>
      <c r="V419" s="181"/>
      <c r="W419" s="181"/>
      <c r="X419" s="181"/>
      <c r="Y419" s="181"/>
    </row>
    <row r="420" spans="1:25" ht="15.75" hidden="1" customHeight="1" x14ac:dyDescent="0.2">
      <c r="A420" s="181"/>
      <c r="B420" s="174"/>
      <c r="C420" s="175"/>
      <c r="D420" s="175"/>
      <c r="E420" s="175"/>
      <c r="F420" s="122"/>
      <c r="G420" s="122"/>
      <c r="H420" s="122"/>
      <c r="I420" s="122"/>
      <c r="J420" s="173"/>
      <c r="K420" s="181"/>
      <c r="L420" s="181"/>
      <c r="M420" s="181"/>
      <c r="N420" s="181"/>
      <c r="O420" s="181"/>
      <c r="P420" s="181"/>
      <c r="Q420" s="181"/>
      <c r="R420" s="181"/>
      <c r="S420" s="181"/>
      <c r="T420" s="181"/>
      <c r="U420" s="181"/>
      <c r="V420" s="181"/>
      <c r="W420" s="181"/>
      <c r="X420" s="181"/>
      <c r="Y420" s="181"/>
    </row>
    <row r="421" spans="1:25" ht="15.75" hidden="1" customHeight="1" x14ac:dyDescent="0.2">
      <c r="A421" s="181"/>
      <c r="B421" s="174"/>
      <c r="C421" s="175"/>
      <c r="D421" s="175"/>
      <c r="E421" s="175"/>
      <c r="F421" s="122"/>
      <c r="G421" s="122"/>
      <c r="H421" s="122"/>
      <c r="I421" s="122"/>
      <c r="J421" s="173"/>
      <c r="K421" s="181"/>
      <c r="L421" s="181"/>
      <c r="M421" s="181"/>
      <c r="N421" s="181"/>
      <c r="O421" s="181"/>
      <c r="P421" s="181"/>
      <c r="Q421" s="181"/>
      <c r="R421" s="181"/>
      <c r="S421" s="181"/>
      <c r="T421" s="181"/>
      <c r="U421" s="181"/>
      <c r="V421" s="181"/>
      <c r="W421" s="181"/>
      <c r="X421" s="181"/>
      <c r="Y421" s="181"/>
    </row>
    <row r="422" spans="1:25" ht="15.75" hidden="1" customHeight="1" x14ac:dyDescent="0.2">
      <c r="A422" s="181"/>
      <c r="B422" s="174"/>
      <c r="C422" s="175"/>
      <c r="D422" s="175"/>
      <c r="E422" s="175"/>
      <c r="F422" s="122"/>
      <c r="G422" s="122"/>
      <c r="H422" s="122"/>
      <c r="I422" s="122"/>
      <c r="J422" s="173"/>
      <c r="K422" s="181"/>
      <c r="L422" s="181"/>
      <c r="M422" s="181"/>
      <c r="N422" s="181"/>
      <c r="O422" s="181"/>
      <c r="P422" s="181"/>
      <c r="Q422" s="181"/>
      <c r="R422" s="181"/>
      <c r="S422" s="181"/>
      <c r="T422" s="181"/>
      <c r="U422" s="181"/>
      <c r="V422" s="181"/>
      <c r="W422" s="181"/>
      <c r="X422" s="181"/>
      <c r="Y422" s="181"/>
    </row>
    <row r="423" spans="1:25" ht="15.75" hidden="1" customHeight="1" x14ac:dyDescent="0.2">
      <c r="A423" s="181"/>
      <c r="B423" s="174"/>
      <c r="C423" s="175"/>
      <c r="D423" s="175"/>
      <c r="E423" s="175"/>
      <c r="F423" s="122"/>
      <c r="G423" s="122"/>
      <c r="H423" s="122"/>
      <c r="I423" s="122"/>
      <c r="J423" s="173"/>
      <c r="K423" s="181"/>
      <c r="L423" s="181"/>
      <c r="M423" s="181"/>
      <c r="N423" s="181"/>
      <c r="O423" s="181"/>
      <c r="P423" s="181"/>
      <c r="Q423" s="181"/>
      <c r="R423" s="181"/>
      <c r="S423" s="181"/>
      <c r="T423" s="181"/>
      <c r="U423" s="181"/>
      <c r="V423" s="181"/>
      <c r="W423" s="181"/>
      <c r="X423" s="181"/>
      <c r="Y423" s="181"/>
    </row>
    <row r="424" spans="1:25" ht="15.75" hidden="1" customHeight="1" x14ac:dyDescent="0.2">
      <c r="A424" s="181"/>
      <c r="B424" s="174"/>
      <c r="C424" s="175"/>
      <c r="D424" s="175"/>
      <c r="E424" s="175"/>
      <c r="F424" s="122"/>
      <c r="G424" s="122"/>
      <c r="H424" s="122"/>
      <c r="I424" s="122"/>
      <c r="J424" s="173"/>
      <c r="K424" s="181"/>
      <c r="L424" s="181"/>
      <c r="M424" s="181"/>
      <c r="N424" s="181"/>
      <c r="O424" s="181"/>
      <c r="P424" s="181"/>
      <c r="Q424" s="181"/>
      <c r="R424" s="181"/>
      <c r="S424" s="181"/>
      <c r="T424" s="181"/>
      <c r="U424" s="181"/>
      <c r="V424" s="181"/>
      <c r="W424" s="181"/>
      <c r="X424" s="181"/>
      <c r="Y424" s="181"/>
    </row>
    <row r="425" spans="1:25" ht="15.75" hidden="1" customHeight="1" x14ac:dyDescent="0.2">
      <c r="A425" s="181"/>
      <c r="B425" s="174"/>
      <c r="C425" s="175"/>
      <c r="D425" s="175"/>
      <c r="E425" s="175"/>
      <c r="F425" s="122"/>
      <c r="G425" s="122"/>
      <c r="H425" s="122"/>
      <c r="I425" s="122"/>
      <c r="J425" s="173"/>
      <c r="K425" s="181"/>
      <c r="L425" s="181"/>
      <c r="M425" s="181"/>
      <c r="N425" s="181"/>
      <c r="O425" s="181"/>
      <c r="P425" s="181"/>
      <c r="Q425" s="181"/>
      <c r="R425" s="181"/>
      <c r="S425" s="181"/>
      <c r="T425" s="181"/>
      <c r="U425" s="181"/>
      <c r="V425" s="181"/>
      <c r="W425" s="181"/>
      <c r="X425" s="181"/>
      <c r="Y425" s="181"/>
    </row>
    <row r="426" spans="1:25" ht="15.75" hidden="1" customHeight="1" x14ac:dyDescent="0.2">
      <c r="A426" s="181"/>
      <c r="B426" s="174"/>
      <c r="C426" s="175"/>
      <c r="D426" s="175"/>
      <c r="E426" s="175"/>
      <c r="F426" s="122"/>
      <c r="G426" s="122"/>
      <c r="H426" s="122"/>
      <c r="I426" s="122"/>
      <c r="J426" s="173"/>
      <c r="K426" s="181"/>
      <c r="L426" s="181"/>
      <c r="M426" s="181"/>
      <c r="N426" s="181"/>
      <c r="O426" s="181"/>
      <c r="P426" s="181"/>
      <c r="Q426" s="181"/>
      <c r="R426" s="181"/>
      <c r="S426" s="181"/>
      <c r="T426" s="181"/>
      <c r="U426" s="181"/>
      <c r="V426" s="181"/>
      <c r="W426" s="181"/>
      <c r="X426" s="181"/>
      <c r="Y426" s="181"/>
    </row>
    <row r="427" spans="1:25" ht="15.75" hidden="1" customHeight="1" x14ac:dyDescent="0.2">
      <c r="A427" s="181"/>
      <c r="B427" s="174"/>
      <c r="C427" s="175"/>
      <c r="D427" s="175"/>
      <c r="E427" s="175"/>
      <c r="F427" s="122"/>
      <c r="G427" s="122"/>
      <c r="H427" s="122"/>
      <c r="I427" s="122"/>
      <c r="J427" s="173"/>
      <c r="K427" s="181"/>
      <c r="L427" s="181"/>
      <c r="M427" s="181"/>
      <c r="N427" s="181"/>
      <c r="O427" s="181"/>
      <c r="P427" s="181"/>
      <c r="Q427" s="181"/>
      <c r="R427" s="181"/>
      <c r="S427" s="181"/>
      <c r="T427" s="181"/>
      <c r="U427" s="181"/>
      <c r="V427" s="181"/>
      <c r="W427" s="181"/>
      <c r="X427" s="181"/>
      <c r="Y427" s="181"/>
    </row>
    <row r="428" spans="1:25" ht="15.75" hidden="1" customHeight="1" x14ac:dyDescent="0.2">
      <c r="A428" s="181"/>
      <c r="B428" s="174"/>
      <c r="C428" s="175"/>
      <c r="D428" s="175"/>
      <c r="E428" s="175"/>
      <c r="F428" s="122"/>
      <c r="G428" s="122"/>
      <c r="H428" s="122"/>
      <c r="I428" s="122"/>
      <c r="J428" s="173"/>
      <c r="K428" s="181"/>
      <c r="L428" s="181"/>
      <c r="M428" s="181"/>
      <c r="N428" s="181"/>
      <c r="O428" s="181"/>
      <c r="P428" s="181"/>
      <c r="Q428" s="181"/>
      <c r="R428" s="181"/>
      <c r="S428" s="181"/>
      <c r="T428" s="181"/>
      <c r="U428" s="181"/>
      <c r="V428" s="181"/>
      <c r="W428" s="181"/>
      <c r="X428" s="181"/>
      <c r="Y428" s="181"/>
    </row>
    <row r="429" spans="1:25" ht="15.75" hidden="1" customHeight="1" x14ac:dyDescent="0.2">
      <c r="A429" s="181"/>
      <c r="B429" s="174"/>
      <c r="C429" s="175"/>
      <c r="D429" s="175"/>
      <c r="E429" s="175"/>
      <c r="F429" s="122"/>
      <c r="G429" s="122"/>
      <c r="H429" s="122"/>
      <c r="I429" s="122"/>
      <c r="J429" s="173"/>
      <c r="K429" s="181"/>
      <c r="L429" s="181"/>
      <c r="M429" s="181"/>
      <c r="N429" s="181"/>
      <c r="O429" s="181"/>
      <c r="P429" s="181"/>
      <c r="Q429" s="181"/>
      <c r="R429" s="181"/>
      <c r="S429" s="181"/>
      <c r="T429" s="181"/>
      <c r="U429" s="181"/>
      <c r="V429" s="181"/>
      <c r="W429" s="181"/>
      <c r="X429" s="181"/>
      <c r="Y429" s="181"/>
    </row>
    <row r="430" spans="1:25" ht="15.75" hidden="1" customHeight="1" x14ac:dyDescent="0.2">
      <c r="A430" s="181"/>
      <c r="B430" s="174"/>
      <c r="C430" s="175"/>
      <c r="D430" s="175"/>
      <c r="E430" s="175"/>
      <c r="F430" s="122"/>
      <c r="G430" s="122"/>
      <c r="H430" s="122"/>
      <c r="I430" s="122"/>
      <c r="J430" s="173"/>
      <c r="K430" s="181"/>
      <c r="L430" s="181"/>
      <c r="M430" s="181"/>
      <c r="N430" s="181"/>
      <c r="O430" s="181"/>
      <c r="P430" s="181"/>
      <c r="Q430" s="181"/>
      <c r="R430" s="181"/>
      <c r="S430" s="181"/>
      <c r="T430" s="181"/>
      <c r="U430" s="181"/>
      <c r="V430" s="181"/>
      <c r="W430" s="181"/>
      <c r="X430" s="181"/>
      <c r="Y430" s="181"/>
    </row>
    <row r="431" spans="1:25" ht="15.75" hidden="1" customHeight="1" x14ac:dyDescent="0.2">
      <c r="A431" s="181"/>
      <c r="B431" s="174"/>
      <c r="C431" s="175"/>
      <c r="D431" s="175"/>
      <c r="E431" s="175"/>
      <c r="F431" s="122"/>
      <c r="G431" s="122"/>
      <c r="H431" s="122"/>
      <c r="I431" s="122"/>
      <c r="J431" s="173"/>
      <c r="K431" s="181"/>
      <c r="L431" s="181"/>
      <c r="M431" s="181"/>
      <c r="N431" s="181"/>
      <c r="O431" s="181"/>
      <c r="P431" s="181"/>
      <c r="Q431" s="181"/>
      <c r="R431" s="181"/>
      <c r="S431" s="181"/>
      <c r="T431" s="181"/>
      <c r="U431" s="181"/>
      <c r="V431" s="181"/>
      <c r="W431" s="181"/>
      <c r="X431" s="181"/>
      <c r="Y431" s="181"/>
    </row>
    <row r="432" spans="1:25" ht="15.75" hidden="1" customHeight="1" x14ac:dyDescent="0.2">
      <c r="A432" s="181"/>
      <c r="B432" s="174"/>
      <c r="C432" s="175"/>
      <c r="D432" s="175"/>
      <c r="E432" s="175"/>
      <c r="F432" s="122"/>
      <c r="G432" s="122"/>
      <c r="H432" s="122"/>
      <c r="I432" s="122"/>
      <c r="J432" s="173"/>
      <c r="K432" s="181"/>
      <c r="L432" s="181"/>
      <c r="M432" s="181"/>
      <c r="N432" s="181"/>
      <c r="O432" s="181"/>
      <c r="P432" s="181"/>
      <c r="Q432" s="181"/>
      <c r="R432" s="181"/>
      <c r="S432" s="181"/>
      <c r="T432" s="181"/>
      <c r="U432" s="181"/>
      <c r="V432" s="181"/>
      <c r="W432" s="181"/>
      <c r="X432" s="181"/>
      <c r="Y432" s="181"/>
    </row>
    <row r="433" spans="1:25" ht="15.75" hidden="1" customHeight="1" x14ac:dyDescent="0.2">
      <c r="A433" s="181"/>
      <c r="B433" s="174"/>
      <c r="C433" s="175"/>
      <c r="D433" s="175"/>
      <c r="E433" s="175"/>
      <c r="F433" s="122"/>
      <c r="G433" s="122"/>
      <c r="H433" s="122"/>
      <c r="I433" s="122"/>
      <c r="J433" s="173"/>
      <c r="K433" s="181"/>
      <c r="L433" s="181"/>
      <c r="M433" s="181"/>
      <c r="N433" s="181"/>
      <c r="O433" s="181"/>
      <c r="P433" s="181"/>
      <c r="Q433" s="181"/>
      <c r="R433" s="181"/>
      <c r="S433" s="181"/>
      <c r="T433" s="181"/>
      <c r="U433" s="181"/>
      <c r="V433" s="181"/>
      <c r="W433" s="181"/>
      <c r="X433" s="181"/>
      <c r="Y433" s="181"/>
    </row>
    <row r="434" spans="1:25" ht="15.75" hidden="1" customHeight="1" x14ac:dyDescent="0.2">
      <c r="A434" s="181"/>
      <c r="B434" s="174"/>
      <c r="C434" s="175"/>
      <c r="D434" s="175"/>
      <c r="E434" s="175"/>
      <c r="F434" s="122"/>
      <c r="G434" s="122"/>
      <c r="H434" s="122"/>
      <c r="I434" s="122"/>
      <c r="J434" s="173"/>
      <c r="K434" s="181"/>
      <c r="L434" s="181"/>
      <c r="M434" s="181"/>
      <c r="N434" s="181"/>
      <c r="O434" s="181"/>
      <c r="P434" s="181"/>
      <c r="Q434" s="181"/>
      <c r="R434" s="181"/>
      <c r="S434" s="181"/>
      <c r="T434" s="181"/>
      <c r="U434" s="181"/>
      <c r="V434" s="181"/>
      <c r="W434" s="181"/>
      <c r="X434" s="181"/>
      <c r="Y434" s="181"/>
    </row>
    <row r="435" spans="1:25" ht="15.75" hidden="1" customHeight="1" x14ac:dyDescent="0.2">
      <c r="A435" s="181"/>
      <c r="B435" s="174"/>
      <c r="C435" s="175"/>
      <c r="D435" s="175"/>
      <c r="E435" s="175"/>
      <c r="F435" s="122"/>
      <c r="G435" s="122"/>
      <c r="H435" s="122"/>
      <c r="I435" s="122"/>
      <c r="J435" s="173"/>
      <c r="K435" s="181"/>
      <c r="L435" s="181"/>
      <c r="M435" s="181"/>
      <c r="N435" s="181"/>
      <c r="O435" s="181"/>
      <c r="P435" s="181"/>
      <c r="Q435" s="181"/>
      <c r="R435" s="181"/>
      <c r="S435" s="181"/>
      <c r="T435" s="181"/>
      <c r="U435" s="181"/>
      <c r="V435" s="181"/>
      <c r="W435" s="181"/>
      <c r="X435" s="181"/>
      <c r="Y435" s="181"/>
    </row>
    <row r="436" spans="1:25" ht="15.75" hidden="1" customHeight="1" x14ac:dyDescent="0.2">
      <c r="A436" s="181"/>
      <c r="B436" s="174"/>
      <c r="C436" s="175"/>
      <c r="D436" s="175"/>
      <c r="E436" s="175"/>
      <c r="F436" s="122"/>
      <c r="G436" s="122"/>
      <c r="H436" s="122"/>
      <c r="I436" s="122"/>
      <c r="J436" s="173"/>
      <c r="K436" s="181"/>
      <c r="L436" s="181"/>
      <c r="M436" s="181"/>
      <c r="N436" s="181"/>
      <c r="O436" s="181"/>
      <c r="P436" s="181"/>
      <c r="Q436" s="181"/>
      <c r="R436" s="181"/>
      <c r="S436" s="181"/>
      <c r="T436" s="181"/>
      <c r="U436" s="181"/>
      <c r="V436" s="181"/>
      <c r="W436" s="181"/>
      <c r="X436" s="181"/>
      <c r="Y436" s="181"/>
    </row>
    <row r="437" spans="1:25" ht="15.75" hidden="1" customHeight="1" x14ac:dyDescent="0.2">
      <c r="A437" s="181"/>
      <c r="B437" s="174"/>
      <c r="C437" s="175"/>
      <c r="D437" s="175"/>
      <c r="E437" s="175"/>
      <c r="F437" s="122"/>
      <c r="G437" s="122"/>
      <c r="H437" s="122"/>
      <c r="I437" s="122"/>
      <c r="J437" s="173"/>
      <c r="K437" s="181"/>
      <c r="L437" s="181"/>
      <c r="M437" s="181"/>
      <c r="N437" s="181"/>
      <c r="O437" s="181"/>
      <c r="P437" s="181"/>
      <c r="Q437" s="181"/>
      <c r="R437" s="181"/>
      <c r="S437" s="181"/>
      <c r="T437" s="181"/>
      <c r="U437" s="181"/>
      <c r="V437" s="181"/>
      <c r="W437" s="181"/>
      <c r="X437" s="181"/>
      <c r="Y437" s="181"/>
    </row>
    <row r="438" spans="1:25" ht="15.75" hidden="1" customHeight="1" x14ac:dyDescent="0.2">
      <c r="A438" s="181"/>
      <c r="B438" s="174"/>
      <c r="C438" s="175"/>
      <c r="D438" s="175"/>
      <c r="E438" s="175"/>
      <c r="F438" s="122"/>
      <c r="G438" s="122"/>
      <c r="H438" s="122"/>
      <c r="I438" s="122"/>
      <c r="J438" s="173"/>
      <c r="K438" s="181"/>
      <c r="L438" s="181"/>
      <c r="M438" s="181"/>
      <c r="N438" s="181"/>
      <c r="O438" s="181"/>
      <c r="P438" s="181"/>
      <c r="Q438" s="181"/>
      <c r="R438" s="181"/>
      <c r="S438" s="181"/>
      <c r="T438" s="181"/>
      <c r="U438" s="181"/>
      <c r="V438" s="181"/>
      <c r="W438" s="181"/>
      <c r="X438" s="181"/>
      <c r="Y438" s="181"/>
    </row>
    <row r="439" spans="1:25" ht="15.75" hidden="1" customHeight="1" x14ac:dyDescent="0.2">
      <c r="A439" s="181"/>
      <c r="B439" s="174"/>
      <c r="C439" s="175"/>
      <c r="D439" s="175"/>
      <c r="E439" s="175"/>
      <c r="F439" s="122"/>
      <c r="G439" s="122"/>
      <c r="H439" s="122"/>
      <c r="I439" s="122"/>
      <c r="J439" s="173"/>
      <c r="K439" s="181"/>
      <c r="L439" s="181"/>
      <c r="M439" s="181"/>
      <c r="N439" s="181"/>
      <c r="O439" s="181"/>
      <c r="P439" s="181"/>
      <c r="Q439" s="181"/>
      <c r="R439" s="181"/>
      <c r="S439" s="181"/>
      <c r="T439" s="181"/>
      <c r="U439" s="181"/>
      <c r="V439" s="181"/>
      <c r="W439" s="181"/>
      <c r="X439" s="181"/>
      <c r="Y439" s="181"/>
    </row>
    <row r="440" spans="1:25" ht="15.75" hidden="1" customHeight="1" x14ac:dyDescent="0.2">
      <c r="A440" s="181"/>
      <c r="B440" s="174"/>
      <c r="C440" s="175"/>
      <c r="D440" s="175"/>
      <c r="E440" s="175"/>
      <c r="F440" s="122"/>
      <c r="G440" s="122"/>
      <c r="H440" s="122"/>
      <c r="I440" s="122"/>
      <c r="J440" s="173"/>
      <c r="K440" s="181"/>
      <c r="L440" s="181"/>
      <c r="M440" s="181"/>
      <c r="N440" s="181"/>
      <c r="O440" s="181"/>
      <c r="P440" s="181"/>
      <c r="Q440" s="181"/>
      <c r="R440" s="181"/>
      <c r="S440" s="181"/>
      <c r="T440" s="181"/>
      <c r="U440" s="181"/>
      <c r="V440" s="181"/>
      <c r="W440" s="181"/>
      <c r="X440" s="181"/>
      <c r="Y440" s="181"/>
    </row>
    <row r="441" spans="1:25" ht="15.75" hidden="1" customHeight="1" x14ac:dyDescent="0.2">
      <c r="A441" s="181"/>
      <c r="B441" s="174"/>
      <c r="C441" s="175"/>
      <c r="D441" s="175"/>
      <c r="E441" s="175"/>
      <c r="F441" s="122"/>
      <c r="G441" s="122"/>
      <c r="H441" s="122"/>
      <c r="I441" s="122"/>
      <c r="J441" s="173"/>
      <c r="K441" s="181"/>
      <c r="L441" s="181"/>
      <c r="M441" s="181"/>
      <c r="N441" s="181"/>
      <c r="O441" s="181"/>
      <c r="P441" s="181"/>
      <c r="Q441" s="181"/>
      <c r="R441" s="181"/>
      <c r="S441" s="181"/>
      <c r="T441" s="181"/>
      <c r="U441" s="181"/>
      <c r="V441" s="181"/>
      <c r="W441" s="181"/>
      <c r="X441" s="181"/>
      <c r="Y441" s="181"/>
    </row>
    <row r="442" spans="1:25" ht="15.75" hidden="1" customHeight="1" x14ac:dyDescent="0.2">
      <c r="A442" s="181"/>
      <c r="B442" s="174"/>
      <c r="C442" s="175"/>
      <c r="D442" s="175"/>
      <c r="E442" s="175"/>
      <c r="F442" s="122"/>
      <c r="G442" s="122"/>
      <c r="H442" s="122"/>
      <c r="I442" s="122"/>
      <c r="J442" s="173"/>
      <c r="K442" s="181"/>
      <c r="L442" s="181"/>
      <c r="M442" s="181"/>
      <c r="N442" s="181"/>
      <c r="O442" s="181"/>
      <c r="P442" s="181"/>
      <c r="Q442" s="181"/>
      <c r="R442" s="181"/>
      <c r="S442" s="181"/>
      <c r="T442" s="181"/>
      <c r="U442" s="181"/>
      <c r="V442" s="181"/>
      <c r="W442" s="181"/>
      <c r="X442" s="181"/>
      <c r="Y442" s="181"/>
    </row>
    <row r="443" spans="1:25" ht="15.75" hidden="1" customHeight="1" x14ac:dyDescent="0.2">
      <c r="A443" s="181"/>
      <c r="B443" s="174"/>
      <c r="C443" s="175"/>
      <c r="D443" s="175"/>
      <c r="E443" s="175"/>
      <c r="F443" s="122"/>
      <c r="G443" s="122"/>
      <c r="H443" s="122"/>
      <c r="I443" s="122"/>
      <c r="J443" s="173"/>
      <c r="K443" s="181"/>
      <c r="L443" s="181"/>
      <c r="M443" s="181"/>
      <c r="N443" s="181"/>
      <c r="O443" s="181"/>
      <c r="P443" s="181"/>
      <c r="Q443" s="181"/>
      <c r="R443" s="181"/>
      <c r="S443" s="181"/>
      <c r="T443" s="181"/>
      <c r="U443" s="181"/>
      <c r="V443" s="181"/>
      <c r="W443" s="181"/>
      <c r="X443" s="181"/>
      <c r="Y443" s="181"/>
    </row>
    <row r="444" spans="1:25" ht="15.75" hidden="1" customHeight="1" x14ac:dyDescent="0.2">
      <c r="A444" s="181"/>
      <c r="B444" s="174"/>
      <c r="C444" s="175"/>
      <c r="D444" s="175"/>
      <c r="E444" s="175"/>
      <c r="F444" s="122"/>
      <c r="G444" s="122"/>
      <c r="H444" s="122"/>
      <c r="I444" s="122"/>
      <c r="J444" s="173"/>
      <c r="K444" s="181"/>
      <c r="L444" s="181"/>
      <c r="M444" s="181"/>
      <c r="N444" s="181"/>
      <c r="O444" s="181"/>
      <c r="P444" s="181"/>
      <c r="Q444" s="181"/>
      <c r="R444" s="181"/>
      <c r="S444" s="181"/>
      <c r="T444" s="181"/>
      <c r="U444" s="181"/>
      <c r="V444" s="181"/>
      <c r="W444" s="181"/>
      <c r="X444" s="181"/>
      <c r="Y444" s="181"/>
    </row>
    <row r="445" spans="1:25" ht="15.75" hidden="1" customHeight="1" x14ac:dyDescent="0.2">
      <c r="A445" s="181"/>
      <c r="B445" s="174"/>
      <c r="C445" s="175"/>
      <c r="D445" s="175"/>
      <c r="E445" s="175"/>
      <c r="F445" s="122"/>
      <c r="G445" s="122"/>
      <c r="H445" s="122"/>
      <c r="I445" s="122"/>
      <c r="J445" s="173"/>
      <c r="K445" s="181"/>
      <c r="L445" s="181"/>
      <c r="M445" s="181"/>
      <c r="N445" s="181"/>
      <c r="O445" s="181"/>
      <c r="P445" s="181"/>
      <c r="Q445" s="181"/>
      <c r="R445" s="181"/>
      <c r="S445" s="181"/>
      <c r="T445" s="181"/>
      <c r="U445" s="181"/>
      <c r="V445" s="181"/>
      <c r="W445" s="181"/>
      <c r="X445" s="181"/>
      <c r="Y445" s="181"/>
    </row>
    <row r="446" spans="1:25" ht="15.75" hidden="1" customHeight="1" x14ac:dyDescent="0.2">
      <c r="A446" s="181"/>
      <c r="B446" s="174"/>
      <c r="C446" s="175"/>
      <c r="D446" s="175"/>
      <c r="E446" s="175"/>
      <c r="F446" s="122"/>
      <c r="G446" s="122"/>
      <c r="H446" s="122"/>
      <c r="I446" s="122"/>
      <c r="J446" s="173"/>
      <c r="K446" s="181"/>
      <c r="L446" s="181"/>
      <c r="M446" s="181"/>
      <c r="N446" s="181"/>
      <c r="O446" s="181"/>
      <c r="P446" s="181"/>
      <c r="Q446" s="181"/>
      <c r="R446" s="181"/>
      <c r="S446" s="181"/>
      <c r="T446" s="181"/>
      <c r="U446" s="181"/>
      <c r="V446" s="181"/>
      <c r="W446" s="181"/>
      <c r="X446" s="181"/>
      <c r="Y446" s="181"/>
    </row>
    <row r="447" spans="1:25" ht="15.75" hidden="1" customHeight="1" x14ac:dyDescent="0.2">
      <c r="A447" s="181"/>
      <c r="B447" s="174"/>
      <c r="C447" s="175"/>
      <c r="D447" s="175"/>
      <c r="E447" s="175"/>
      <c r="F447" s="122"/>
      <c r="G447" s="122"/>
      <c r="H447" s="122"/>
      <c r="I447" s="122"/>
      <c r="J447" s="173"/>
      <c r="K447" s="181"/>
      <c r="L447" s="181"/>
      <c r="M447" s="181"/>
      <c r="N447" s="181"/>
      <c r="O447" s="181"/>
      <c r="P447" s="181"/>
      <c r="Q447" s="181"/>
      <c r="R447" s="181"/>
      <c r="S447" s="181"/>
      <c r="T447" s="181"/>
      <c r="U447" s="181"/>
      <c r="V447" s="181"/>
      <c r="W447" s="181"/>
      <c r="X447" s="181"/>
      <c r="Y447" s="181"/>
    </row>
    <row r="448" spans="1:25" ht="15.75" hidden="1" customHeight="1" x14ac:dyDescent="0.2">
      <c r="A448" s="181"/>
      <c r="B448" s="174"/>
      <c r="C448" s="175"/>
      <c r="D448" s="175"/>
      <c r="E448" s="175"/>
      <c r="F448" s="122"/>
      <c r="G448" s="122"/>
      <c r="H448" s="122"/>
      <c r="I448" s="122"/>
      <c r="J448" s="173"/>
      <c r="K448" s="181"/>
      <c r="L448" s="181"/>
      <c r="M448" s="181"/>
      <c r="N448" s="181"/>
      <c r="O448" s="181"/>
      <c r="P448" s="181"/>
      <c r="Q448" s="181"/>
      <c r="R448" s="181"/>
      <c r="S448" s="181"/>
      <c r="T448" s="181"/>
      <c r="U448" s="181"/>
      <c r="V448" s="181"/>
      <c r="W448" s="181"/>
      <c r="X448" s="181"/>
      <c r="Y448" s="181"/>
    </row>
    <row r="449" spans="1:25" ht="15.75" hidden="1" customHeight="1" x14ac:dyDescent="0.2">
      <c r="A449" s="181"/>
      <c r="B449" s="174"/>
      <c r="C449" s="175"/>
      <c r="D449" s="175"/>
      <c r="E449" s="175"/>
      <c r="F449" s="122"/>
      <c r="G449" s="122"/>
      <c r="H449" s="122"/>
      <c r="I449" s="122"/>
      <c r="J449" s="173"/>
      <c r="K449" s="181"/>
      <c r="L449" s="181"/>
      <c r="M449" s="181"/>
      <c r="N449" s="181"/>
      <c r="O449" s="181"/>
      <c r="P449" s="181"/>
      <c r="Q449" s="181"/>
      <c r="R449" s="181"/>
      <c r="S449" s="181"/>
      <c r="T449" s="181"/>
      <c r="U449" s="181"/>
      <c r="V449" s="181"/>
      <c r="W449" s="181"/>
      <c r="X449" s="181"/>
      <c r="Y449" s="181"/>
    </row>
    <row r="450" spans="1:25" ht="15.75" hidden="1" customHeight="1" x14ac:dyDescent="0.2">
      <c r="A450" s="181"/>
      <c r="B450" s="174"/>
      <c r="C450" s="175"/>
      <c r="D450" s="175"/>
      <c r="E450" s="175"/>
      <c r="F450" s="122"/>
      <c r="G450" s="122"/>
      <c r="H450" s="122"/>
      <c r="I450" s="122"/>
      <c r="J450" s="173"/>
      <c r="K450" s="181"/>
      <c r="L450" s="181"/>
      <c r="M450" s="181"/>
      <c r="N450" s="181"/>
      <c r="O450" s="181"/>
      <c r="P450" s="181"/>
      <c r="Q450" s="181"/>
      <c r="R450" s="181"/>
      <c r="S450" s="181"/>
      <c r="T450" s="181"/>
      <c r="U450" s="181"/>
      <c r="V450" s="181"/>
      <c r="W450" s="181"/>
      <c r="X450" s="181"/>
      <c r="Y450" s="181"/>
    </row>
    <row r="451" spans="1:25" ht="15.75" hidden="1" customHeight="1" x14ac:dyDescent="0.2">
      <c r="A451" s="181"/>
      <c r="B451" s="174"/>
      <c r="C451" s="175"/>
      <c r="D451" s="175"/>
      <c r="E451" s="175"/>
      <c r="F451" s="122"/>
      <c r="G451" s="122"/>
      <c r="H451" s="122"/>
      <c r="I451" s="122"/>
      <c r="J451" s="173"/>
      <c r="K451" s="181"/>
      <c r="L451" s="181"/>
      <c r="M451" s="181"/>
      <c r="N451" s="181"/>
      <c r="O451" s="181"/>
      <c r="P451" s="181"/>
      <c r="Q451" s="181"/>
      <c r="R451" s="181"/>
      <c r="S451" s="181"/>
      <c r="T451" s="181"/>
      <c r="U451" s="181"/>
      <c r="V451" s="181"/>
      <c r="W451" s="181"/>
      <c r="X451" s="181"/>
      <c r="Y451" s="181"/>
    </row>
    <row r="452" spans="1:25" ht="15.75" hidden="1" customHeight="1" x14ac:dyDescent="0.2">
      <c r="A452" s="181"/>
      <c r="B452" s="174"/>
      <c r="C452" s="175"/>
      <c r="D452" s="175"/>
      <c r="E452" s="175"/>
      <c r="F452" s="122"/>
      <c r="G452" s="122"/>
      <c r="H452" s="122"/>
      <c r="I452" s="122"/>
      <c r="J452" s="173"/>
      <c r="K452" s="181"/>
      <c r="L452" s="181"/>
      <c r="M452" s="181"/>
      <c r="N452" s="181"/>
      <c r="O452" s="181"/>
      <c r="P452" s="181"/>
      <c r="Q452" s="181"/>
      <c r="R452" s="181"/>
      <c r="S452" s="181"/>
      <c r="T452" s="181"/>
      <c r="U452" s="181"/>
      <c r="V452" s="181"/>
      <c r="W452" s="181"/>
      <c r="X452" s="181"/>
      <c r="Y452" s="181"/>
    </row>
    <row r="453" spans="1:25" ht="15.75" hidden="1" customHeight="1" x14ac:dyDescent="0.2">
      <c r="A453" s="181"/>
      <c r="B453" s="174"/>
      <c r="C453" s="175"/>
      <c r="D453" s="175"/>
      <c r="E453" s="175"/>
      <c r="F453" s="122"/>
      <c r="G453" s="122"/>
      <c r="H453" s="122"/>
      <c r="I453" s="122"/>
      <c r="J453" s="173"/>
      <c r="K453" s="181"/>
      <c r="L453" s="181"/>
      <c r="M453" s="181"/>
      <c r="N453" s="181"/>
      <c r="O453" s="181"/>
      <c r="P453" s="181"/>
      <c r="Q453" s="181"/>
      <c r="R453" s="181"/>
      <c r="S453" s="181"/>
      <c r="T453" s="181"/>
      <c r="U453" s="181"/>
      <c r="V453" s="181"/>
      <c r="W453" s="181"/>
      <c r="X453" s="181"/>
      <c r="Y453" s="181"/>
    </row>
    <row r="454" spans="1:25" ht="15.75" hidden="1" customHeight="1" x14ac:dyDescent="0.2">
      <c r="A454" s="181"/>
      <c r="B454" s="174"/>
      <c r="C454" s="175"/>
      <c r="D454" s="175"/>
      <c r="E454" s="175"/>
      <c r="F454" s="122"/>
      <c r="G454" s="122"/>
      <c r="H454" s="122"/>
      <c r="I454" s="122"/>
      <c r="J454" s="173"/>
      <c r="K454" s="181"/>
      <c r="L454" s="181"/>
      <c r="M454" s="181"/>
      <c r="N454" s="181"/>
      <c r="O454" s="181"/>
      <c r="P454" s="181"/>
      <c r="Q454" s="181"/>
      <c r="R454" s="181"/>
      <c r="S454" s="181"/>
      <c r="T454" s="181"/>
      <c r="U454" s="181"/>
      <c r="V454" s="181"/>
      <c r="W454" s="181"/>
      <c r="X454" s="181"/>
      <c r="Y454" s="181"/>
    </row>
    <row r="455" spans="1:25" ht="15.75" hidden="1" customHeight="1" x14ac:dyDescent="0.2">
      <c r="A455" s="181"/>
      <c r="B455" s="174"/>
      <c r="C455" s="175"/>
      <c r="D455" s="175"/>
      <c r="E455" s="175"/>
      <c r="F455" s="122"/>
      <c r="G455" s="122"/>
      <c r="H455" s="122"/>
      <c r="I455" s="122"/>
      <c r="J455" s="173"/>
      <c r="K455" s="181"/>
      <c r="L455" s="181"/>
      <c r="M455" s="181"/>
      <c r="N455" s="181"/>
      <c r="O455" s="181"/>
      <c r="P455" s="181"/>
      <c r="Q455" s="181"/>
      <c r="R455" s="181"/>
      <c r="S455" s="181"/>
      <c r="T455" s="181"/>
      <c r="U455" s="181"/>
      <c r="V455" s="181"/>
      <c r="W455" s="181"/>
      <c r="X455" s="181"/>
      <c r="Y455" s="181"/>
    </row>
    <row r="456" spans="1:25" ht="15.75" hidden="1" customHeight="1" x14ac:dyDescent="0.2">
      <c r="A456" s="181"/>
      <c r="B456" s="174"/>
      <c r="C456" s="175"/>
      <c r="D456" s="175"/>
      <c r="E456" s="175"/>
      <c r="F456" s="122"/>
      <c r="G456" s="122"/>
      <c r="H456" s="122"/>
      <c r="I456" s="122"/>
      <c r="J456" s="173"/>
      <c r="K456" s="181"/>
      <c r="L456" s="181"/>
      <c r="M456" s="181"/>
      <c r="N456" s="181"/>
      <c r="O456" s="181"/>
      <c r="P456" s="181"/>
      <c r="Q456" s="181"/>
      <c r="R456" s="181"/>
      <c r="S456" s="181"/>
      <c r="T456" s="181"/>
      <c r="U456" s="181"/>
      <c r="V456" s="181"/>
      <c r="W456" s="181"/>
      <c r="X456" s="181"/>
      <c r="Y456" s="181"/>
    </row>
    <row r="457" spans="1:25" ht="15.75" hidden="1" customHeight="1" x14ac:dyDescent="0.2">
      <c r="A457" s="181"/>
      <c r="B457" s="174"/>
      <c r="C457" s="175"/>
      <c r="D457" s="175"/>
      <c r="E457" s="175"/>
      <c r="F457" s="122"/>
      <c r="G457" s="122"/>
      <c r="H457" s="122"/>
      <c r="I457" s="122"/>
      <c r="J457" s="173"/>
      <c r="K457" s="181"/>
      <c r="L457" s="181"/>
      <c r="M457" s="181"/>
      <c r="N457" s="181"/>
      <c r="O457" s="181"/>
      <c r="P457" s="181"/>
      <c r="Q457" s="181"/>
      <c r="R457" s="181"/>
      <c r="S457" s="181"/>
      <c r="T457" s="181"/>
      <c r="U457" s="181"/>
      <c r="V457" s="181"/>
      <c r="W457" s="181"/>
      <c r="X457" s="181"/>
      <c r="Y457" s="181"/>
    </row>
    <row r="458" spans="1:25" ht="15.75" hidden="1" customHeight="1" x14ac:dyDescent="0.2">
      <c r="A458" s="181"/>
      <c r="B458" s="174"/>
      <c r="C458" s="175"/>
      <c r="D458" s="175"/>
      <c r="E458" s="175"/>
      <c r="F458" s="122"/>
      <c r="G458" s="122"/>
      <c r="H458" s="122"/>
      <c r="I458" s="122"/>
      <c r="J458" s="173"/>
      <c r="K458" s="181"/>
      <c r="L458" s="181"/>
      <c r="M458" s="181"/>
      <c r="N458" s="181"/>
      <c r="O458" s="181"/>
      <c r="P458" s="181"/>
      <c r="Q458" s="181"/>
      <c r="R458" s="181"/>
      <c r="S458" s="181"/>
      <c r="T458" s="181"/>
      <c r="U458" s="181"/>
      <c r="V458" s="181"/>
      <c r="W458" s="181"/>
      <c r="X458" s="181"/>
      <c r="Y458" s="181"/>
    </row>
    <row r="459" spans="1:25" ht="15.75" hidden="1" customHeight="1" x14ac:dyDescent="0.2">
      <c r="A459" s="181"/>
      <c r="B459" s="174"/>
      <c r="C459" s="175"/>
      <c r="D459" s="175"/>
      <c r="E459" s="175"/>
      <c r="F459" s="122"/>
      <c r="G459" s="122"/>
      <c r="H459" s="122"/>
      <c r="I459" s="122"/>
      <c r="J459" s="173"/>
      <c r="K459" s="181"/>
      <c r="L459" s="181"/>
      <c r="M459" s="181"/>
      <c r="N459" s="181"/>
      <c r="O459" s="181"/>
      <c r="P459" s="181"/>
      <c r="Q459" s="181"/>
      <c r="R459" s="181"/>
      <c r="S459" s="181"/>
      <c r="T459" s="181"/>
      <c r="U459" s="181"/>
      <c r="V459" s="181"/>
      <c r="W459" s="181"/>
      <c r="X459" s="181"/>
      <c r="Y459" s="181"/>
    </row>
    <row r="460" spans="1:25" ht="15.75" hidden="1" customHeight="1" x14ac:dyDescent="0.2">
      <c r="A460" s="181"/>
      <c r="B460" s="174"/>
      <c r="C460" s="175"/>
      <c r="D460" s="175"/>
      <c r="E460" s="175"/>
      <c r="F460" s="122"/>
      <c r="G460" s="122"/>
      <c r="H460" s="122"/>
      <c r="I460" s="122"/>
      <c r="J460" s="173"/>
      <c r="K460" s="181"/>
      <c r="L460" s="181"/>
      <c r="M460" s="181"/>
      <c r="N460" s="181"/>
      <c r="O460" s="181"/>
      <c r="P460" s="181"/>
      <c r="Q460" s="181"/>
      <c r="R460" s="181"/>
      <c r="S460" s="181"/>
      <c r="T460" s="181"/>
      <c r="U460" s="181"/>
      <c r="V460" s="181"/>
      <c r="W460" s="181"/>
      <c r="X460" s="181"/>
      <c r="Y460" s="181"/>
    </row>
    <row r="461" spans="1:25" ht="15.75" hidden="1" customHeight="1" x14ac:dyDescent="0.2">
      <c r="A461" s="181"/>
      <c r="B461" s="174"/>
      <c r="C461" s="175"/>
      <c r="D461" s="175"/>
      <c r="E461" s="175"/>
      <c r="F461" s="122"/>
      <c r="G461" s="122"/>
      <c r="H461" s="122"/>
      <c r="I461" s="122"/>
      <c r="J461" s="173"/>
      <c r="K461" s="181"/>
      <c r="L461" s="181"/>
      <c r="M461" s="181"/>
      <c r="N461" s="181"/>
      <c r="O461" s="181"/>
      <c r="P461" s="181"/>
      <c r="Q461" s="181"/>
      <c r="R461" s="181"/>
      <c r="S461" s="181"/>
      <c r="T461" s="181"/>
      <c r="U461" s="181"/>
      <c r="V461" s="181"/>
      <c r="W461" s="181"/>
      <c r="X461" s="181"/>
      <c r="Y461" s="181"/>
    </row>
    <row r="462" spans="1:25" ht="15.75" hidden="1" customHeight="1" x14ac:dyDescent="0.2">
      <c r="A462" s="181"/>
      <c r="B462" s="174"/>
      <c r="C462" s="175"/>
      <c r="D462" s="175"/>
      <c r="E462" s="175"/>
      <c r="F462" s="122"/>
      <c r="G462" s="122"/>
      <c r="H462" s="122"/>
      <c r="I462" s="122"/>
      <c r="J462" s="173"/>
      <c r="K462" s="181"/>
      <c r="L462" s="181"/>
      <c r="M462" s="181"/>
      <c r="N462" s="181"/>
      <c r="O462" s="181"/>
      <c r="P462" s="181"/>
      <c r="Q462" s="181"/>
      <c r="R462" s="181"/>
      <c r="S462" s="181"/>
      <c r="T462" s="181"/>
      <c r="U462" s="181"/>
      <c r="V462" s="181"/>
      <c r="W462" s="181"/>
      <c r="X462" s="181"/>
      <c r="Y462" s="181"/>
    </row>
    <row r="463" spans="1:25" ht="15.75" hidden="1" customHeight="1" x14ac:dyDescent="0.2">
      <c r="A463" s="181"/>
      <c r="B463" s="174"/>
      <c r="C463" s="175"/>
      <c r="D463" s="175"/>
      <c r="E463" s="175"/>
      <c r="F463" s="122"/>
      <c r="G463" s="122"/>
      <c r="H463" s="122"/>
      <c r="I463" s="122"/>
      <c r="J463" s="173"/>
      <c r="K463" s="181"/>
      <c r="L463" s="181"/>
      <c r="M463" s="181"/>
      <c r="N463" s="181"/>
      <c r="O463" s="181"/>
      <c r="P463" s="181"/>
      <c r="Q463" s="181"/>
      <c r="R463" s="181"/>
      <c r="S463" s="181"/>
      <c r="T463" s="181"/>
      <c r="U463" s="181"/>
      <c r="V463" s="181"/>
      <c r="W463" s="181"/>
      <c r="X463" s="181"/>
      <c r="Y463" s="181"/>
    </row>
    <row r="464" spans="1:25" ht="15.75" hidden="1" customHeight="1" x14ac:dyDescent="0.2">
      <c r="A464" s="181"/>
      <c r="B464" s="174"/>
      <c r="C464" s="175"/>
      <c r="D464" s="175"/>
      <c r="E464" s="175"/>
      <c r="F464" s="122"/>
      <c r="G464" s="122"/>
      <c r="H464" s="122"/>
      <c r="I464" s="122"/>
      <c r="J464" s="173"/>
      <c r="K464" s="181"/>
      <c r="L464" s="181"/>
      <c r="M464" s="181"/>
      <c r="N464" s="181"/>
      <c r="O464" s="181"/>
      <c r="P464" s="181"/>
      <c r="Q464" s="181"/>
      <c r="R464" s="181"/>
      <c r="S464" s="181"/>
      <c r="T464" s="181"/>
      <c r="U464" s="181"/>
      <c r="V464" s="181"/>
      <c r="W464" s="181"/>
      <c r="X464" s="181"/>
      <c r="Y464" s="181"/>
    </row>
    <row r="465" spans="1:25" ht="15.75" hidden="1" customHeight="1" x14ac:dyDescent="0.2">
      <c r="A465" s="181"/>
      <c r="B465" s="174"/>
      <c r="C465" s="175"/>
      <c r="D465" s="175"/>
      <c r="E465" s="175"/>
      <c r="F465" s="122"/>
      <c r="G465" s="122"/>
      <c r="H465" s="122"/>
      <c r="I465" s="122"/>
      <c r="J465" s="173"/>
      <c r="K465" s="181"/>
      <c r="L465" s="181"/>
      <c r="M465" s="181"/>
      <c r="N465" s="181"/>
      <c r="O465" s="181"/>
      <c r="P465" s="181"/>
      <c r="Q465" s="181"/>
      <c r="R465" s="181"/>
      <c r="S465" s="181"/>
      <c r="T465" s="181"/>
      <c r="U465" s="181"/>
      <c r="V465" s="181"/>
      <c r="W465" s="181"/>
      <c r="X465" s="181"/>
      <c r="Y465" s="181"/>
    </row>
    <row r="466" spans="1:25" ht="15.75" hidden="1" customHeight="1" x14ac:dyDescent="0.2">
      <c r="A466" s="181"/>
      <c r="B466" s="174"/>
      <c r="C466" s="175"/>
      <c r="D466" s="175"/>
      <c r="E466" s="175"/>
      <c r="F466" s="122"/>
      <c r="G466" s="122"/>
      <c r="H466" s="122"/>
      <c r="I466" s="122"/>
      <c r="J466" s="173"/>
      <c r="K466" s="181"/>
      <c r="L466" s="181"/>
      <c r="M466" s="181"/>
      <c r="N466" s="181"/>
      <c r="O466" s="181"/>
      <c r="P466" s="181"/>
      <c r="Q466" s="181"/>
      <c r="R466" s="181"/>
      <c r="S466" s="181"/>
      <c r="T466" s="181"/>
      <c r="U466" s="181"/>
      <c r="V466" s="181"/>
      <c r="W466" s="181"/>
      <c r="X466" s="181"/>
      <c r="Y466" s="181"/>
    </row>
    <row r="467" spans="1:25" ht="15.75" hidden="1" customHeight="1" x14ac:dyDescent="0.2">
      <c r="A467" s="181"/>
      <c r="B467" s="174"/>
      <c r="C467" s="175"/>
      <c r="D467" s="175"/>
      <c r="E467" s="175"/>
      <c r="F467" s="122"/>
      <c r="G467" s="122"/>
      <c r="H467" s="122"/>
      <c r="I467" s="122"/>
      <c r="J467" s="173"/>
      <c r="K467" s="181"/>
      <c r="L467" s="181"/>
      <c r="M467" s="181"/>
      <c r="N467" s="181"/>
      <c r="O467" s="181"/>
      <c r="P467" s="181"/>
      <c r="Q467" s="181"/>
      <c r="R467" s="181"/>
      <c r="S467" s="181"/>
      <c r="T467" s="181"/>
      <c r="U467" s="181"/>
      <c r="V467" s="181"/>
      <c r="W467" s="181"/>
      <c r="X467" s="181"/>
      <c r="Y467" s="181"/>
    </row>
    <row r="468" spans="1:25" ht="15.75" hidden="1" customHeight="1" x14ac:dyDescent="0.2">
      <c r="A468" s="181"/>
      <c r="B468" s="174"/>
      <c r="C468" s="175"/>
      <c r="D468" s="175"/>
      <c r="E468" s="175"/>
      <c r="F468" s="122"/>
      <c r="G468" s="122"/>
      <c r="H468" s="122"/>
      <c r="I468" s="122"/>
      <c r="J468" s="173"/>
      <c r="K468" s="181"/>
      <c r="L468" s="181"/>
      <c r="M468" s="181"/>
      <c r="N468" s="181"/>
      <c r="O468" s="181"/>
      <c r="P468" s="181"/>
      <c r="Q468" s="181"/>
      <c r="R468" s="181"/>
      <c r="S468" s="181"/>
      <c r="T468" s="181"/>
      <c r="U468" s="181"/>
      <c r="V468" s="181"/>
      <c r="W468" s="181"/>
      <c r="X468" s="181"/>
      <c r="Y468" s="181"/>
    </row>
    <row r="469" spans="1:25" ht="15.75" hidden="1" customHeight="1" x14ac:dyDescent="0.2">
      <c r="A469" s="181"/>
      <c r="B469" s="174"/>
      <c r="C469" s="175"/>
      <c r="D469" s="175"/>
      <c r="E469" s="175"/>
      <c r="F469" s="122"/>
      <c r="G469" s="122"/>
      <c r="H469" s="122"/>
      <c r="I469" s="122"/>
      <c r="J469" s="173"/>
      <c r="K469" s="181"/>
      <c r="L469" s="181"/>
      <c r="M469" s="181"/>
      <c r="N469" s="181"/>
      <c r="O469" s="181"/>
      <c r="P469" s="181"/>
      <c r="Q469" s="181"/>
      <c r="R469" s="181"/>
      <c r="S469" s="181"/>
      <c r="T469" s="181"/>
      <c r="U469" s="181"/>
      <c r="V469" s="181"/>
      <c r="W469" s="181"/>
      <c r="X469" s="181"/>
      <c r="Y469" s="181"/>
    </row>
    <row r="470" spans="1:25" ht="15.75" hidden="1" customHeight="1" x14ac:dyDescent="0.2">
      <c r="A470" s="181"/>
      <c r="B470" s="174"/>
      <c r="C470" s="175"/>
      <c r="D470" s="175"/>
      <c r="E470" s="175"/>
      <c r="F470" s="122"/>
      <c r="G470" s="122"/>
      <c r="H470" s="122"/>
      <c r="I470" s="122"/>
      <c r="J470" s="173"/>
      <c r="K470" s="181"/>
      <c r="L470" s="181"/>
      <c r="M470" s="181"/>
      <c r="N470" s="181"/>
      <c r="O470" s="181"/>
      <c r="P470" s="181"/>
      <c r="Q470" s="181"/>
      <c r="R470" s="181"/>
      <c r="S470" s="181"/>
      <c r="T470" s="181"/>
      <c r="U470" s="181"/>
      <c r="V470" s="181"/>
      <c r="W470" s="181"/>
      <c r="X470" s="181"/>
      <c r="Y470" s="181"/>
    </row>
    <row r="471" spans="1:25" ht="15.75" hidden="1" customHeight="1" x14ac:dyDescent="0.2">
      <c r="A471" s="181"/>
      <c r="B471" s="174"/>
      <c r="C471" s="175"/>
      <c r="D471" s="175"/>
      <c r="E471" s="175"/>
      <c r="F471" s="122"/>
      <c r="G471" s="122"/>
      <c r="H471" s="122"/>
      <c r="I471" s="122"/>
      <c r="J471" s="173"/>
      <c r="K471" s="181"/>
      <c r="L471" s="181"/>
      <c r="M471" s="181"/>
      <c r="N471" s="181"/>
      <c r="O471" s="181"/>
      <c r="P471" s="181"/>
      <c r="Q471" s="181"/>
      <c r="R471" s="181"/>
      <c r="S471" s="181"/>
      <c r="T471" s="181"/>
      <c r="U471" s="181"/>
      <c r="V471" s="181"/>
      <c r="W471" s="181"/>
      <c r="X471" s="181"/>
      <c r="Y471" s="181"/>
    </row>
    <row r="472" spans="1:25" ht="15.75" hidden="1" customHeight="1" x14ac:dyDescent="0.2">
      <c r="A472" s="181"/>
      <c r="B472" s="174"/>
      <c r="C472" s="175"/>
      <c r="D472" s="175"/>
      <c r="E472" s="175"/>
      <c r="F472" s="122"/>
      <c r="G472" s="122"/>
      <c r="H472" s="122"/>
      <c r="I472" s="122"/>
      <c r="J472" s="173"/>
      <c r="K472" s="181"/>
      <c r="L472" s="181"/>
      <c r="M472" s="181"/>
      <c r="N472" s="181"/>
      <c r="O472" s="181"/>
      <c r="P472" s="181"/>
      <c r="Q472" s="181"/>
      <c r="R472" s="181"/>
      <c r="S472" s="181"/>
      <c r="T472" s="181"/>
      <c r="U472" s="181"/>
      <c r="V472" s="181"/>
      <c r="W472" s="181"/>
      <c r="X472" s="181"/>
      <c r="Y472" s="181"/>
    </row>
    <row r="473" spans="1:25" ht="15.75" hidden="1" customHeight="1" x14ac:dyDescent="0.2">
      <c r="A473" s="181"/>
      <c r="B473" s="174"/>
      <c r="C473" s="175"/>
      <c r="D473" s="175"/>
      <c r="E473" s="175"/>
      <c r="F473" s="122"/>
      <c r="G473" s="122"/>
      <c r="H473" s="122"/>
      <c r="I473" s="122"/>
      <c r="J473" s="173"/>
      <c r="K473" s="181"/>
      <c r="L473" s="181"/>
      <c r="M473" s="181"/>
      <c r="N473" s="181"/>
      <c r="O473" s="181"/>
      <c r="P473" s="181"/>
      <c r="Q473" s="181"/>
      <c r="R473" s="181"/>
      <c r="S473" s="181"/>
      <c r="T473" s="181"/>
      <c r="U473" s="181"/>
      <c r="V473" s="181"/>
      <c r="W473" s="181"/>
      <c r="X473" s="181"/>
      <c r="Y473" s="181"/>
    </row>
    <row r="474" spans="1:25" ht="15.75" hidden="1" customHeight="1" x14ac:dyDescent="0.2">
      <c r="A474" s="181"/>
      <c r="B474" s="174"/>
      <c r="C474" s="175"/>
      <c r="D474" s="175"/>
      <c r="E474" s="175"/>
      <c r="F474" s="122"/>
      <c r="G474" s="122"/>
      <c r="H474" s="122"/>
      <c r="I474" s="122"/>
      <c r="J474" s="173"/>
      <c r="K474" s="181"/>
      <c r="L474" s="181"/>
      <c r="M474" s="181"/>
      <c r="N474" s="181"/>
      <c r="O474" s="181"/>
      <c r="P474" s="181"/>
      <c r="Q474" s="181"/>
      <c r="R474" s="181"/>
      <c r="S474" s="181"/>
      <c r="T474" s="181"/>
      <c r="U474" s="181"/>
      <c r="V474" s="181"/>
      <c r="W474" s="181"/>
      <c r="X474" s="181"/>
      <c r="Y474" s="181"/>
    </row>
    <row r="475" spans="1:25" ht="15.75" hidden="1" customHeight="1" x14ac:dyDescent="0.2">
      <c r="A475" s="181"/>
      <c r="B475" s="174"/>
      <c r="C475" s="175"/>
      <c r="D475" s="175"/>
      <c r="E475" s="175"/>
      <c r="F475" s="122"/>
      <c r="G475" s="122"/>
      <c r="H475" s="122"/>
      <c r="I475" s="122"/>
      <c r="J475" s="173"/>
      <c r="K475" s="181"/>
      <c r="L475" s="181"/>
      <c r="M475" s="181"/>
      <c r="N475" s="181"/>
      <c r="O475" s="181"/>
      <c r="P475" s="181"/>
      <c r="Q475" s="181"/>
      <c r="R475" s="181"/>
      <c r="S475" s="181"/>
      <c r="T475" s="181"/>
      <c r="U475" s="181"/>
      <c r="V475" s="181"/>
      <c r="W475" s="181"/>
      <c r="X475" s="181"/>
      <c r="Y475" s="181"/>
    </row>
    <row r="476" spans="1:25" ht="15.75" hidden="1" customHeight="1" x14ac:dyDescent="0.2">
      <c r="A476" s="181"/>
      <c r="B476" s="174"/>
      <c r="C476" s="175"/>
      <c r="D476" s="175"/>
      <c r="E476" s="175"/>
      <c r="F476" s="122"/>
      <c r="G476" s="122"/>
      <c r="H476" s="122"/>
      <c r="I476" s="122"/>
      <c r="J476" s="173"/>
      <c r="K476" s="181"/>
      <c r="L476" s="181"/>
      <c r="M476" s="181"/>
      <c r="N476" s="181"/>
      <c r="O476" s="181"/>
      <c r="P476" s="181"/>
      <c r="Q476" s="181"/>
      <c r="R476" s="181"/>
      <c r="S476" s="181"/>
      <c r="T476" s="181"/>
      <c r="U476" s="181"/>
      <c r="V476" s="181"/>
      <c r="W476" s="181"/>
      <c r="X476" s="181"/>
      <c r="Y476" s="181"/>
    </row>
    <row r="477" spans="1:25" ht="15.75" hidden="1" customHeight="1" x14ac:dyDescent="0.2">
      <c r="A477" s="181"/>
      <c r="B477" s="174"/>
      <c r="C477" s="175"/>
      <c r="D477" s="175"/>
      <c r="E477" s="175"/>
      <c r="F477" s="122"/>
      <c r="G477" s="122"/>
      <c r="H477" s="122"/>
      <c r="I477" s="122"/>
      <c r="J477" s="173"/>
      <c r="K477" s="181"/>
      <c r="L477" s="181"/>
      <c r="M477" s="181"/>
      <c r="N477" s="181"/>
      <c r="O477" s="181"/>
      <c r="P477" s="181"/>
      <c r="Q477" s="181"/>
      <c r="R477" s="181"/>
      <c r="S477" s="181"/>
      <c r="T477" s="181"/>
      <c r="U477" s="181"/>
      <c r="V477" s="181"/>
      <c r="W477" s="181"/>
      <c r="X477" s="181"/>
      <c r="Y477" s="181"/>
    </row>
    <row r="478" spans="1:25" ht="15.75" hidden="1" customHeight="1" x14ac:dyDescent="0.2">
      <c r="A478" s="181"/>
      <c r="B478" s="174"/>
      <c r="C478" s="175"/>
      <c r="D478" s="175"/>
      <c r="E478" s="175"/>
      <c r="F478" s="122"/>
      <c r="G478" s="122"/>
      <c r="H478" s="122"/>
      <c r="I478" s="122"/>
      <c r="J478" s="173"/>
      <c r="K478" s="181"/>
      <c r="L478" s="181"/>
      <c r="M478" s="181"/>
      <c r="N478" s="181"/>
      <c r="O478" s="181"/>
      <c r="P478" s="181"/>
      <c r="Q478" s="181"/>
      <c r="R478" s="181"/>
      <c r="S478" s="181"/>
      <c r="T478" s="181"/>
      <c r="U478" s="181"/>
      <c r="V478" s="181"/>
      <c r="W478" s="181"/>
      <c r="X478" s="181"/>
      <c r="Y478" s="181"/>
    </row>
    <row r="479" spans="1:25" ht="15.75" hidden="1" customHeight="1" x14ac:dyDescent="0.2">
      <c r="A479" s="181"/>
      <c r="B479" s="174"/>
      <c r="C479" s="175"/>
      <c r="D479" s="175"/>
      <c r="E479" s="175"/>
      <c r="F479" s="122"/>
      <c r="G479" s="122"/>
      <c r="H479" s="122"/>
      <c r="I479" s="122"/>
      <c r="J479" s="173"/>
      <c r="K479" s="181"/>
      <c r="L479" s="181"/>
      <c r="M479" s="181"/>
      <c r="N479" s="181"/>
      <c r="O479" s="181"/>
      <c r="P479" s="181"/>
      <c r="Q479" s="181"/>
      <c r="R479" s="181"/>
      <c r="S479" s="181"/>
      <c r="T479" s="181"/>
      <c r="U479" s="181"/>
      <c r="V479" s="181"/>
      <c r="W479" s="181"/>
      <c r="X479" s="181"/>
      <c r="Y479" s="181"/>
    </row>
    <row r="480" spans="1:25" ht="15.75" hidden="1" customHeight="1" x14ac:dyDescent="0.2">
      <c r="A480" s="181"/>
      <c r="B480" s="174"/>
      <c r="C480" s="175"/>
      <c r="D480" s="175"/>
      <c r="E480" s="175"/>
      <c r="F480" s="122"/>
      <c r="G480" s="122"/>
      <c r="H480" s="122"/>
      <c r="I480" s="122"/>
      <c r="J480" s="173"/>
      <c r="K480" s="181"/>
      <c r="L480" s="181"/>
      <c r="M480" s="181"/>
      <c r="N480" s="181"/>
      <c r="O480" s="181"/>
      <c r="P480" s="181"/>
      <c r="Q480" s="181"/>
      <c r="R480" s="181"/>
      <c r="S480" s="181"/>
      <c r="T480" s="181"/>
      <c r="U480" s="181"/>
      <c r="V480" s="181"/>
      <c r="W480" s="181"/>
      <c r="X480" s="181"/>
      <c r="Y480" s="181"/>
    </row>
    <row r="481" spans="1:25" ht="15.75" hidden="1" customHeight="1" x14ac:dyDescent="0.2">
      <c r="A481" s="181"/>
      <c r="B481" s="174"/>
      <c r="C481" s="175"/>
      <c r="D481" s="175"/>
      <c r="E481" s="175"/>
      <c r="F481" s="122"/>
      <c r="G481" s="122"/>
      <c r="H481" s="122"/>
      <c r="I481" s="122"/>
      <c r="J481" s="173"/>
      <c r="K481" s="181"/>
      <c r="L481" s="181"/>
      <c r="M481" s="181"/>
      <c r="N481" s="181"/>
      <c r="O481" s="181"/>
      <c r="P481" s="181"/>
      <c r="Q481" s="181"/>
      <c r="R481" s="181"/>
      <c r="S481" s="181"/>
      <c r="T481" s="181"/>
      <c r="U481" s="181"/>
      <c r="V481" s="181"/>
      <c r="W481" s="181"/>
      <c r="X481" s="181"/>
      <c r="Y481" s="181"/>
    </row>
    <row r="482" spans="1:25" ht="15.75" hidden="1" customHeight="1" x14ac:dyDescent="0.2">
      <c r="A482" s="181"/>
      <c r="B482" s="174"/>
      <c r="C482" s="175"/>
      <c r="D482" s="175"/>
      <c r="E482" s="175"/>
      <c r="F482" s="122"/>
      <c r="G482" s="122"/>
      <c r="H482" s="122"/>
      <c r="I482" s="122"/>
      <c r="J482" s="173"/>
      <c r="K482" s="181"/>
      <c r="L482" s="181"/>
      <c r="M482" s="181"/>
      <c r="N482" s="181"/>
      <c r="O482" s="181"/>
      <c r="P482" s="181"/>
      <c r="Q482" s="181"/>
      <c r="R482" s="181"/>
      <c r="S482" s="181"/>
      <c r="T482" s="181"/>
      <c r="U482" s="181"/>
      <c r="V482" s="181"/>
      <c r="W482" s="181"/>
      <c r="X482" s="181"/>
      <c r="Y482" s="181"/>
    </row>
    <row r="483" spans="1:25" ht="15.75" hidden="1" customHeight="1" x14ac:dyDescent="0.2">
      <c r="A483" s="181"/>
      <c r="B483" s="174"/>
      <c r="C483" s="175"/>
      <c r="D483" s="175"/>
      <c r="E483" s="175"/>
      <c r="F483" s="122"/>
      <c r="G483" s="122"/>
      <c r="H483" s="122"/>
      <c r="I483" s="122"/>
      <c r="J483" s="173"/>
      <c r="K483" s="181"/>
      <c r="L483" s="181"/>
      <c r="M483" s="181"/>
      <c r="N483" s="181"/>
      <c r="O483" s="181"/>
      <c r="P483" s="181"/>
      <c r="Q483" s="181"/>
      <c r="R483" s="181"/>
      <c r="S483" s="181"/>
      <c r="T483" s="181"/>
      <c r="U483" s="181"/>
      <c r="V483" s="181"/>
      <c r="W483" s="181"/>
      <c r="X483" s="181"/>
      <c r="Y483" s="181"/>
    </row>
    <row r="484" spans="1:25" ht="15.75" hidden="1" customHeight="1" x14ac:dyDescent="0.2">
      <c r="A484" s="181"/>
      <c r="B484" s="174"/>
      <c r="C484" s="175"/>
      <c r="D484" s="175"/>
      <c r="E484" s="175"/>
      <c r="F484" s="122"/>
      <c r="G484" s="122"/>
      <c r="H484" s="122"/>
      <c r="I484" s="122"/>
      <c r="J484" s="173"/>
      <c r="K484" s="181"/>
      <c r="L484" s="181"/>
      <c r="M484" s="181"/>
      <c r="N484" s="181"/>
      <c r="O484" s="181"/>
      <c r="P484" s="181"/>
      <c r="Q484" s="181"/>
      <c r="R484" s="181"/>
      <c r="S484" s="181"/>
      <c r="T484" s="181"/>
      <c r="U484" s="181"/>
      <c r="V484" s="181"/>
      <c r="W484" s="181"/>
      <c r="X484" s="181"/>
      <c r="Y484" s="181"/>
    </row>
    <row r="485" spans="1:25" ht="15.75" hidden="1" customHeight="1" x14ac:dyDescent="0.2">
      <c r="A485" s="181"/>
      <c r="B485" s="174"/>
      <c r="C485" s="175"/>
      <c r="D485" s="175"/>
      <c r="E485" s="175"/>
      <c r="F485" s="122"/>
      <c r="G485" s="122"/>
      <c r="H485" s="122"/>
      <c r="I485" s="122"/>
      <c r="J485" s="173"/>
      <c r="K485" s="181"/>
      <c r="L485" s="181"/>
      <c r="M485" s="181"/>
      <c r="N485" s="181"/>
      <c r="O485" s="181"/>
      <c r="P485" s="181"/>
      <c r="Q485" s="181"/>
      <c r="R485" s="181"/>
      <c r="S485" s="181"/>
      <c r="T485" s="181"/>
      <c r="U485" s="181"/>
      <c r="V485" s="181"/>
      <c r="W485" s="181"/>
      <c r="X485" s="181"/>
      <c r="Y485" s="181"/>
    </row>
    <row r="486" spans="1:25" ht="15.75" hidden="1" customHeight="1" x14ac:dyDescent="0.2">
      <c r="A486" s="181"/>
      <c r="B486" s="174"/>
      <c r="C486" s="175"/>
      <c r="D486" s="175"/>
      <c r="E486" s="175"/>
      <c r="F486" s="122"/>
      <c r="G486" s="122"/>
      <c r="H486" s="122"/>
      <c r="I486" s="122"/>
      <c r="J486" s="173"/>
      <c r="K486" s="181"/>
      <c r="L486" s="181"/>
      <c r="M486" s="181"/>
      <c r="N486" s="181"/>
      <c r="O486" s="181"/>
      <c r="P486" s="181"/>
      <c r="Q486" s="181"/>
      <c r="R486" s="181"/>
      <c r="S486" s="181"/>
      <c r="T486" s="181"/>
      <c r="U486" s="181"/>
      <c r="V486" s="181"/>
      <c r="W486" s="181"/>
      <c r="X486" s="181"/>
      <c r="Y486" s="181"/>
    </row>
    <row r="487" spans="1:25" ht="15.75" hidden="1" customHeight="1" x14ac:dyDescent="0.2">
      <c r="A487" s="181"/>
      <c r="B487" s="174"/>
      <c r="C487" s="175"/>
      <c r="D487" s="175"/>
      <c r="E487" s="175"/>
      <c r="F487" s="122"/>
      <c r="G487" s="122"/>
      <c r="H487" s="122"/>
      <c r="I487" s="122"/>
      <c r="J487" s="173"/>
      <c r="K487" s="181"/>
      <c r="L487" s="181"/>
      <c r="M487" s="181"/>
      <c r="N487" s="181"/>
      <c r="O487" s="181"/>
      <c r="P487" s="181"/>
      <c r="Q487" s="181"/>
      <c r="R487" s="181"/>
      <c r="S487" s="181"/>
      <c r="T487" s="181"/>
      <c r="U487" s="181"/>
      <c r="V487" s="181"/>
      <c r="W487" s="181"/>
      <c r="X487" s="181"/>
      <c r="Y487" s="181"/>
    </row>
    <row r="488" spans="1:25" ht="15.75" hidden="1" customHeight="1" x14ac:dyDescent="0.2">
      <c r="A488" s="181"/>
      <c r="B488" s="174"/>
      <c r="C488" s="175"/>
      <c r="D488" s="175"/>
      <c r="E488" s="175"/>
      <c r="F488" s="122"/>
      <c r="G488" s="122"/>
      <c r="H488" s="122"/>
      <c r="I488" s="122"/>
      <c r="J488" s="173"/>
      <c r="K488" s="181"/>
      <c r="L488" s="181"/>
      <c r="M488" s="181"/>
      <c r="N488" s="181"/>
      <c r="O488" s="181"/>
      <c r="P488" s="181"/>
      <c r="Q488" s="181"/>
      <c r="R488" s="181"/>
      <c r="S488" s="181"/>
      <c r="T488" s="181"/>
      <c r="U488" s="181"/>
      <c r="V488" s="181"/>
      <c r="W488" s="181"/>
      <c r="X488" s="181"/>
      <c r="Y488" s="181"/>
    </row>
    <row r="489" spans="1:25" ht="15.75" hidden="1" customHeight="1" x14ac:dyDescent="0.2">
      <c r="A489" s="181"/>
      <c r="B489" s="174"/>
      <c r="C489" s="175"/>
      <c r="D489" s="175"/>
      <c r="E489" s="175"/>
      <c r="F489" s="122"/>
      <c r="G489" s="122"/>
      <c r="H489" s="122"/>
      <c r="I489" s="122"/>
      <c r="J489" s="173"/>
      <c r="K489" s="181"/>
      <c r="L489" s="181"/>
      <c r="M489" s="181"/>
      <c r="N489" s="181"/>
      <c r="O489" s="181"/>
      <c r="P489" s="181"/>
      <c r="Q489" s="181"/>
      <c r="R489" s="181"/>
      <c r="S489" s="181"/>
      <c r="T489" s="181"/>
      <c r="U489" s="181"/>
      <c r="V489" s="181"/>
      <c r="W489" s="181"/>
      <c r="X489" s="181"/>
      <c r="Y489" s="181"/>
    </row>
    <row r="490" spans="1:25" ht="15.75" hidden="1" customHeight="1" x14ac:dyDescent="0.2">
      <c r="A490" s="181"/>
      <c r="B490" s="174"/>
      <c r="C490" s="175"/>
      <c r="D490" s="175"/>
      <c r="E490" s="175"/>
      <c r="F490" s="122"/>
      <c r="G490" s="122"/>
      <c r="H490" s="122"/>
      <c r="I490" s="122"/>
      <c r="J490" s="173"/>
      <c r="K490" s="181"/>
      <c r="L490" s="181"/>
      <c r="M490" s="181"/>
      <c r="N490" s="181"/>
      <c r="O490" s="181"/>
      <c r="P490" s="181"/>
      <c r="Q490" s="181"/>
      <c r="R490" s="181"/>
      <c r="S490" s="181"/>
      <c r="T490" s="181"/>
      <c r="U490" s="181"/>
      <c r="V490" s="181"/>
      <c r="W490" s="181"/>
      <c r="X490" s="181"/>
      <c r="Y490" s="181"/>
    </row>
    <row r="491" spans="1:25" ht="15.75" hidden="1" customHeight="1" x14ac:dyDescent="0.2">
      <c r="A491" s="181"/>
      <c r="B491" s="174"/>
      <c r="C491" s="175"/>
      <c r="D491" s="175"/>
      <c r="E491" s="175"/>
      <c r="F491" s="122"/>
      <c r="G491" s="122"/>
      <c r="H491" s="122"/>
      <c r="I491" s="122"/>
      <c r="J491" s="173"/>
      <c r="K491" s="181"/>
      <c r="L491" s="181"/>
      <c r="M491" s="181"/>
      <c r="N491" s="181"/>
      <c r="O491" s="181"/>
      <c r="P491" s="181"/>
      <c r="Q491" s="181"/>
      <c r="R491" s="181"/>
      <c r="S491" s="181"/>
      <c r="T491" s="181"/>
      <c r="U491" s="181"/>
      <c r="V491" s="181"/>
      <c r="W491" s="181"/>
      <c r="X491" s="181"/>
      <c r="Y491" s="181"/>
    </row>
    <row r="492" spans="1:25" ht="15.75" hidden="1" customHeight="1" x14ac:dyDescent="0.2">
      <c r="A492" s="181"/>
      <c r="B492" s="174"/>
      <c r="C492" s="175"/>
      <c r="D492" s="175"/>
      <c r="E492" s="175"/>
      <c r="F492" s="122"/>
      <c r="G492" s="122"/>
      <c r="H492" s="122"/>
      <c r="I492" s="122"/>
      <c r="J492" s="173"/>
      <c r="K492" s="181"/>
      <c r="L492" s="181"/>
      <c r="M492" s="181"/>
      <c r="N492" s="181"/>
      <c r="O492" s="181"/>
      <c r="P492" s="181"/>
      <c r="Q492" s="181"/>
      <c r="R492" s="181"/>
      <c r="S492" s="181"/>
      <c r="T492" s="181"/>
      <c r="U492" s="181"/>
      <c r="V492" s="181"/>
      <c r="W492" s="181"/>
      <c r="X492" s="181"/>
      <c r="Y492" s="181"/>
    </row>
    <row r="493" spans="1:25" ht="15.75" hidden="1" customHeight="1" x14ac:dyDescent="0.2">
      <c r="A493" s="181"/>
      <c r="B493" s="174"/>
      <c r="C493" s="175"/>
      <c r="D493" s="175"/>
      <c r="E493" s="175"/>
      <c r="F493" s="122"/>
      <c r="G493" s="122"/>
      <c r="H493" s="122"/>
      <c r="I493" s="122"/>
      <c r="J493" s="173"/>
      <c r="K493" s="181"/>
      <c r="L493" s="181"/>
      <c r="M493" s="181"/>
      <c r="N493" s="181"/>
      <c r="O493" s="181"/>
      <c r="P493" s="181"/>
      <c r="Q493" s="181"/>
      <c r="R493" s="181"/>
      <c r="S493" s="181"/>
      <c r="T493" s="181"/>
      <c r="U493" s="181"/>
      <c r="V493" s="181"/>
      <c r="W493" s="181"/>
      <c r="X493" s="181"/>
      <c r="Y493" s="181"/>
    </row>
    <row r="494" spans="1:25" ht="15.75" hidden="1" customHeight="1" x14ac:dyDescent="0.2">
      <c r="A494" s="181"/>
      <c r="B494" s="174"/>
      <c r="C494" s="175"/>
      <c r="D494" s="175"/>
      <c r="E494" s="175"/>
      <c r="F494" s="122"/>
      <c r="G494" s="122"/>
      <c r="H494" s="122"/>
      <c r="I494" s="122"/>
      <c r="J494" s="173"/>
      <c r="K494" s="181"/>
      <c r="L494" s="181"/>
      <c r="M494" s="181"/>
      <c r="N494" s="181"/>
      <c r="O494" s="181"/>
      <c r="P494" s="181"/>
      <c r="Q494" s="181"/>
      <c r="R494" s="181"/>
      <c r="S494" s="181"/>
      <c r="T494" s="181"/>
      <c r="U494" s="181"/>
      <c r="V494" s="181"/>
      <c r="W494" s="181"/>
      <c r="X494" s="181"/>
      <c r="Y494" s="181"/>
    </row>
    <row r="495" spans="1:25" ht="15.75" hidden="1" customHeight="1" x14ac:dyDescent="0.2">
      <c r="A495" s="181"/>
      <c r="B495" s="174"/>
      <c r="C495" s="175"/>
      <c r="D495" s="175"/>
      <c r="E495" s="175"/>
      <c r="F495" s="122"/>
      <c r="G495" s="122"/>
      <c r="H495" s="122"/>
      <c r="I495" s="122"/>
      <c r="J495" s="173"/>
      <c r="K495" s="181"/>
      <c r="L495" s="181"/>
      <c r="M495" s="181"/>
      <c r="N495" s="181"/>
      <c r="O495" s="181"/>
      <c r="P495" s="181"/>
      <c r="Q495" s="181"/>
      <c r="R495" s="181"/>
      <c r="S495" s="181"/>
      <c r="T495" s="181"/>
      <c r="U495" s="181"/>
      <c r="V495" s="181"/>
      <c r="W495" s="181"/>
      <c r="X495" s="181"/>
      <c r="Y495" s="181"/>
    </row>
    <row r="496" spans="1:25" ht="15.75" hidden="1" customHeight="1" x14ac:dyDescent="0.2">
      <c r="A496" s="181"/>
      <c r="B496" s="174"/>
      <c r="C496" s="175"/>
      <c r="D496" s="175"/>
      <c r="E496" s="175"/>
      <c r="F496" s="122"/>
      <c r="G496" s="122"/>
      <c r="H496" s="122"/>
      <c r="I496" s="122"/>
      <c r="J496" s="173"/>
      <c r="K496" s="181"/>
      <c r="L496" s="181"/>
      <c r="M496" s="181"/>
      <c r="N496" s="181"/>
      <c r="O496" s="181"/>
      <c r="P496" s="181"/>
      <c r="Q496" s="181"/>
      <c r="R496" s="181"/>
      <c r="S496" s="181"/>
      <c r="T496" s="181"/>
      <c r="U496" s="181"/>
      <c r="V496" s="181"/>
      <c r="W496" s="181"/>
      <c r="X496" s="181"/>
      <c r="Y496" s="181"/>
    </row>
    <row r="497" spans="1:25" ht="15.75" hidden="1" customHeight="1" x14ac:dyDescent="0.2">
      <c r="A497" s="181"/>
      <c r="B497" s="174"/>
      <c r="C497" s="175"/>
      <c r="D497" s="175"/>
      <c r="E497" s="175"/>
      <c r="F497" s="122"/>
      <c r="G497" s="122"/>
      <c r="H497" s="122"/>
      <c r="I497" s="122"/>
      <c r="J497" s="173"/>
      <c r="K497" s="181"/>
      <c r="L497" s="181"/>
      <c r="M497" s="181"/>
      <c r="N497" s="181"/>
      <c r="O497" s="181"/>
      <c r="P497" s="181"/>
      <c r="Q497" s="181"/>
      <c r="R497" s="181"/>
      <c r="S497" s="181"/>
      <c r="T497" s="181"/>
      <c r="U497" s="181"/>
      <c r="V497" s="181"/>
      <c r="W497" s="181"/>
      <c r="X497" s="181"/>
      <c r="Y497" s="181"/>
    </row>
    <row r="498" spans="1:25" ht="15.75" hidden="1" customHeight="1" x14ac:dyDescent="0.2">
      <c r="A498" s="181"/>
      <c r="B498" s="174"/>
      <c r="C498" s="175"/>
      <c r="D498" s="175"/>
      <c r="E498" s="175"/>
      <c r="F498" s="122"/>
      <c r="G498" s="122"/>
      <c r="H498" s="122"/>
      <c r="I498" s="122"/>
      <c r="J498" s="173"/>
      <c r="K498" s="181"/>
      <c r="L498" s="181"/>
      <c r="M498" s="181"/>
      <c r="N498" s="181"/>
      <c r="O498" s="181"/>
      <c r="P498" s="181"/>
      <c r="Q498" s="181"/>
      <c r="R498" s="181"/>
      <c r="S498" s="181"/>
      <c r="T498" s="181"/>
      <c r="U498" s="181"/>
      <c r="V498" s="181"/>
      <c r="W498" s="181"/>
      <c r="X498" s="181"/>
      <c r="Y498" s="181"/>
    </row>
    <row r="499" spans="1:25" ht="15.75" hidden="1" customHeight="1" x14ac:dyDescent="0.2">
      <c r="A499" s="181"/>
      <c r="B499" s="174"/>
      <c r="C499" s="175"/>
      <c r="D499" s="175"/>
      <c r="E499" s="175"/>
      <c r="F499" s="122"/>
      <c r="G499" s="122"/>
      <c r="H499" s="122"/>
      <c r="I499" s="122"/>
      <c r="J499" s="173"/>
      <c r="K499" s="181"/>
      <c r="L499" s="181"/>
      <c r="M499" s="181"/>
      <c r="N499" s="181"/>
      <c r="O499" s="181"/>
      <c r="P499" s="181"/>
      <c r="Q499" s="181"/>
      <c r="R499" s="181"/>
      <c r="S499" s="181"/>
      <c r="T499" s="181"/>
      <c r="U499" s="181"/>
      <c r="V499" s="181"/>
      <c r="W499" s="181"/>
      <c r="X499" s="181"/>
      <c r="Y499" s="181"/>
    </row>
    <row r="500" spans="1:25" ht="15.75" hidden="1" customHeight="1" x14ac:dyDescent="0.2">
      <c r="A500" s="181"/>
      <c r="B500" s="174"/>
      <c r="C500" s="175"/>
      <c r="D500" s="175"/>
      <c r="E500" s="175"/>
      <c r="F500" s="122"/>
      <c r="G500" s="122"/>
      <c r="H500" s="122"/>
      <c r="I500" s="122"/>
      <c r="J500" s="173"/>
      <c r="K500" s="181"/>
      <c r="L500" s="181"/>
      <c r="M500" s="181"/>
      <c r="N500" s="181"/>
      <c r="O500" s="181"/>
      <c r="P500" s="181"/>
      <c r="Q500" s="181"/>
      <c r="R500" s="181"/>
      <c r="S500" s="181"/>
      <c r="T500" s="181"/>
      <c r="U500" s="181"/>
      <c r="V500" s="181"/>
      <c r="W500" s="181"/>
      <c r="X500" s="181"/>
      <c r="Y500" s="181"/>
    </row>
    <row r="501" spans="1:25" ht="15.75" hidden="1" customHeight="1" x14ac:dyDescent="0.2">
      <c r="A501" s="181"/>
      <c r="B501" s="174"/>
      <c r="C501" s="175"/>
      <c r="D501" s="175"/>
      <c r="E501" s="175"/>
      <c r="F501" s="122"/>
      <c r="G501" s="122"/>
      <c r="H501" s="122"/>
      <c r="I501" s="122"/>
      <c r="J501" s="173"/>
      <c r="K501" s="181"/>
      <c r="L501" s="181"/>
      <c r="M501" s="181"/>
      <c r="N501" s="181"/>
      <c r="O501" s="181"/>
      <c r="P501" s="181"/>
      <c r="Q501" s="181"/>
      <c r="R501" s="181"/>
      <c r="S501" s="181"/>
      <c r="T501" s="181"/>
      <c r="U501" s="181"/>
      <c r="V501" s="181"/>
      <c r="W501" s="181"/>
      <c r="X501" s="181"/>
      <c r="Y501" s="181"/>
    </row>
    <row r="502" spans="1:25" ht="15.75" hidden="1" customHeight="1" x14ac:dyDescent="0.2">
      <c r="A502" s="181"/>
      <c r="B502" s="174"/>
      <c r="C502" s="175"/>
      <c r="D502" s="175"/>
      <c r="E502" s="175"/>
      <c r="F502" s="122"/>
      <c r="G502" s="122"/>
      <c r="H502" s="122"/>
      <c r="I502" s="122"/>
      <c r="J502" s="173"/>
      <c r="K502" s="181"/>
      <c r="L502" s="181"/>
      <c r="M502" s="181"/>
      <c r="N502" s="181"/>
      <c r="O502" s="181"/>
      <c r="P502" s="181"/>
      <c r="Q502" s="181"/>
      <c r="R502" s="181"/>
      <c r="S502" s="181"/>
      <c r="T502" s="181"/>
      <c r="U502" s="181"/>
      <c r="V502" s="181"/>
      <c r="W502" s="181"/>
      <c r="X502" s="181"/>
      <c r="Y502" s="181"/>
    </row>
    <row r="503" spans="1:25" ht="15.75" hidden="1" customHeight="1" x14ac:dyDescent="0.2">
      <c r="A503" s="181"/>
      <c r="B503" s="174"/>
      <c r="C503" s="175"/>
      <c r="D503" s="175"/>
      <c r="E503" s="175"/>
      <c r="F503" s="122"/>
      <c r="G503" s="122"/>
      <c r="H503" s="122"/>
      <c r="I503" s="122"/>
      <c r="J503" s="173"/>
      <c r="K503" s="181"/>
      <c r="L503" s="181"/>
      <c r="M503" s="181"/>
      <c r="N503" s="181"/>
      <c r="O503" s="181"/>
      <c r="P503" s="181"/>
      <c r="Q503" s="181"/>
      <c r="R503" s="181"/>
      <c r="S503" s="181"/>
      <c r="T503" s="181"/>
      <c r="U503" s="181"/>
      <c r="V503" s="181"/>
      <c r="W503" s="181"/>
      <c r="X503" s="181"/>
      <c r="Y503" s="181"/>
    </row>
    <row r="504" spans="1:25" ht="15.75" hidden="1" customHeight="1" x14ac:dyDescent="0.2">
      <c r="A504" s="181"/>
      <c r="B504" s="174"/>
      <c r="C504" s="175"/>
      <c r="D504" s="175"/>
      <c r="E504" s="175"/>
      <c r="F504" s="122"/>
      <c r="G504" s="122"/>
      <c r="H504" s="122"/>
      <c r="I504" s="122"/>
      <c r="J504" s="173"/>
      <c r="K504" s="181"/>
      <c r="L504" s="181"/>
      <c r="M504" s="181"/>
      <c r="N504" s="181"/>
      <c r="O504" s="181"/>
      <c r="P504" s="181"/>
      <c r="Q504" s="181"/>
      <c r="R504" s="181"/>
      <c r="S504" s="181"/>
      <c r="T504" s="181"/>
      <c r="U504" s="181"/>
      <c r="V504" s="181"/>
      <c r="W504" s="181"/>
      <c r="X504" s="181"/>
      <c r="Y504" s="181"/>
    </row>
    <row r="505" spans="1:25" ht="15.75" hidden="1" customHeight="1" x14ac:dyDescent="0.2">
      <c r="A505" s="181"/>
      <c r="B505" s="174"/>
      <c r="C505" s="175"/>
      <c r="D505" s="175"/>
      <c r="E505" s="175"/>
      <c r="F505" s="122"/>
      <c r="G505" s="122"/>
      <c r="H505" s="122"/>
      <c r="I505" s="122"/>
      <c r="J505" s="173"/>
      <c r="K505" s="181"/>
      <c r="L505" s="181"/>
      <c r="M505" s="181"/>
      <c r="N505" s="181"/>
      <c r="O505" s="181"/>
      <c r="P505" s="181"/>
      <c r="Q505" s="181"/>
      <c r="R505" s="181"/>
      <c r="S505" s="181"/>
      <c r="T505" s="181"/>
      <c r="U505" s="181"/>
      <c r="V505" s="181"/>
      <c r="W505" s="181"/>
      <c r="X505" s="181"/>
      <c r="Y505" s="181"/>
    </row>
    <row r="506" spans="1:25" ht="15.75" hidden="1" customHeight="1" x14ac:dyDescent="0.2">
      <c r="A506" s="181"/>
      <c r="B506" s="174"/>
      <c r="C506" s="175"/>
      <c r="D506" s="175"/>
      <c r="E506" s="175"/>
      <c r="F506" s="122"/>
      <c r="G506" s="122"/>
      <c r="H506" s="122"/>
      <c r="I506" s="122"/>
      <c r="J506" s="173"/>
      <c r="K506" s="181"/>
      <c r="L506" s="181"/>
      <c r="M506" s="181"/>
      <c r="N506" s="181"/>
      <c r="O506" s="181"/>
      <c r="P506" s="181"/>
      <c r="Q506" s="181"/>
      <c r="R506" s="181"/>
      <c r="S506" s="181"/>
      <c r="T506" s="181"/>
      <c r="U506" s="181"/>
      <c r="V506" s="181"/>
      <c r="W506" s="181"/>
      <c r="X506" s="181"/>
      <c r="Y506" s="181"/>
    </row>
    <row r="507" spans="1:25" ht="15.75" hidden="1" customHeight="1" x14ac:dyDescent="0.2">
      <c r="A507" s="181"/>
      <c r="B507" s="174"/>
      <c r="C507" s="175"/>
      <c r="D507" s="175"/>
      <c r="E507" s="175"/>
      <c r="F507" s="122"/>
      <c r="G507" s="122"/>
      <c r="H507" s="122"/>
      <c r="I507" s="122"/>
      <c r="J507" s="173"/>
      <c r="K507" s="181"/>
      <c r="L507" s="181"/>
      <c r="M507" s="181"/>
      <c r="N507" s="181"/>
      <c r="O507" s="181"/>
      <c r="P507" s="181"/>
      <c r="Q507" s="181"/>
      <c r="R507" s="181"/>
      <c r="S507" s="181"/>
      <c r="T507" s="181"/>
      <c r="U507" s="181"/>
      <c r="V507" s="181"/>
      <c r="W507" s="181"/>
      <c r="X507" s="181"/>
      <c r="Y507" s="181"/>
    </row>
    <row r="508" spans="1:25" ht="15.75" hidden="1" customHeight="1" x14ac:dyDescent="0.2">
      <c r="A508" s="181"/>
      <c r="B508" s="174"/>
      <c r="C508" s="175"/>
      <c r="D508" s="175"/>
      <c r="E508" s="175"/>
      <c r="F508" s="122"/>
      <c r="G508" s="122"/>
      <c r="H508" s="122"/>
      <c r="I508" s="122"/>
      <c r="J508" s="173"/>
      <c r="K508" s="181"/>
      <c r="L508" s="181"/>
      <c r="M508" s="181"/>
      <c r="N508" s="181"/>
      <c r="O508" s="181"/>
      <c r="P508" s="181"/>
      <c r="Q508" s="181"/>
      <c r="R508" s="181"/>
      <c r="S508" s="181"/>
      <c r="T508" s="181"/>
      <c r="U508" s="181"/>
      <c r="V508" s="181"/>
      <c r="W508" s="181"/>
      <c r="X508" s="181"/>
      <c r="Y508" s="181"/>
    </row>
    <row r="509" spans="1:25" ht="15.75" hidden="1" customHeight="1" x14ac:dyDescent="0.2">
      <c r="A509" s="181"/>
      <c r="B509" s="174"/>
      <c r="C509" s="175"/>
      <c r="D509" s="175"/>
      <c r="E509" s="175"/>
      <c r="F509" s="122"/>
      <c r="G509" s="122"/>
      <c r="H509" s="122"/>
      <c r="I509" s="122"/>
      <c r="J509" s="173"/>
      <c r="K509" s="181"/>
      <c r="L509" s="181"/>
      <c r="M509" s="181"/>
      <c r="N509" s="181"/>
      <c r="O509" s="181"/>
      <c r="P509" s="181"/>
      <c r="Q509" s="181"/>
      <c r="R509" s="181"/>
      <c r="S509" s="181"/>
      <c r="T509" s="181"/>
      <c r="U509" s="181"/>
      <c r="V509" s="181"/>
      <c r="W509" s="181"/>
      <c r="X509" s="181"/>
      <c r="Y509" s="181"/>
    </row>
    <row r="510" spans="1:25" ht="15.75" hidden="1" customHeight="1" x14ac:dyDescent="0.2">
      <c r="A510" s="181"/>
      <c r="B510" s="174"/>
      <c r="C510" s="175"/>
      <c r="D510" s="175"/>
      <c r="E510" s="175"/>
      <c r="F510" s="122"/>
      <c r="G510" s="122"/>
      <c r="H510" s="122"/>
      <c r="I510" s="122"/>
      <c r="J510" s="173"/>
      <c r="K510" s="181"/>
      <c r="L510" s="181"/>
      <c r="M510" s="181"/>
      <c r="N510" s="181"/>
      <c r="O510" s="181"/>
      <c r="P510" s="181"/>
      <c r="Q510" s="181"/>
      <c r="R510" s="181"/>
      <c r="S510" s="181"/>
      <c r="T510" s="181"/>
      <c r="U510" s="181"/>
      <c r="V510" s="181"/>
      <c r="W510" s="181"/>
      <c r="X510" s="181"/>
      <c r="Y510" s="181"/>
    </row>
    <row r="511" spans="1:25" ht="15.75" hidden="1" customHeight="1" x14ac:dyDescent="0.2">
      <c r="A511" s="181"/>
      <c r="B511" s="174"/>
      <c r="C511" s="175"/>
      <c r="D511" s="175"/>
      <c r="E511" s="175"/>
      <c r="F511" s="122"/>
      <c r="G511" s="122"/>
      <c r="H511" s="122"/>
      <c r="I511" s="122"/>
      <c r="J511" s="173"/>
      <c r="K511" s="181"/>
      <c r="L511" s="181"/>
      <c r="M511" s="181"/>
      <c r="N511" s="181"/>
      <c r="O511" s="181"/>
      <c r="P511" s="181"/>
      <c r="Q511" s="181"/>
      <c r="R511" s="181"/>
      <c r="S511" s="181"/>
      <c r="T511" s="181"/>
      <c r="U511" s="181"/>
      <c r="V511" s="181"/>
      <c r="W511" s="181"/>
      <c r="X511" s="181"/>
      <c r="Y511" s="181"/>
    </row>
    <row r="512" spans="1:25" ht="15.75" hidden="1" customHeight="1" x14ac:dyDescent="0.2">
      <c r="A512" s="181"/>
      <c r="B512" s="174"/>
      <c r="C512" s="175"/>
      <c r="D512" s="175"/>
      <c r="E512" s="175"/>
      <c r="F512" s="122"/>
      <c r="G512" s="122"/>
      <c r="H512" s="122"/>
      <c r="I512" s="122"/>
      <c r="J512" s="173"/>
      <c r="K512" s="181"/>
      <c r="L512" s="181"/>
      <c r="M512" s="181"/>
      <c r="N512" s="181"/>
      <c r="O512" s="181"/>
      <c r="P512" s="181"/>
      <c r="Q512" s="181"/>
      <c r="R512" s="181"/>
      <c r="S512" s="181"/>
      <c r="T512" s="181"/>
      <c r="U512" s="181"/>
      <c r="V512" s="181"/>
      <c r="W512" s="181"/>
      <c r="X512" s="181"/>
      <c r="Y512" s="181"/>
    </row>
    <row r="513" spans="1:25" ht="15.75" hidden="1" customHeight="1" x14ac:dyDescent="0.2">
      <c r="A513" s="181"/>
      <c r="B513" s="174"/>
      <c r="C513" s="175"/>
      <c r="D513" s="175"/>
      <c r="E513" s="175"/>
      <c r="F513" s="122"/>
      <c r="G513" s="122"/>
      <c r="H513" s="122"/>
      <c r="I513" s="122"/>
      <c r="J513" s="173"/>
      <c r="K513" s="181"/>
      <c r="L513" s="181"/>
      <c r="M513" s="181"/>
      <c r="N513" s="181"/>
      <c r="O513" s="181"/>
      <c r="P513" s="181"/>
      <c r="Q513" s="181"/>
      <c r="R513" s="181"/>
      <c r="S513" s="181"/>
      <c r="T513" s="181"/>
      <c r="U513" s="181"/>
      <c r="V513" s="181"/>
      <c r="W513" s="181"/>
      <c r="X513" s="181"/>
      <c r="Y513" s="181"/>
    </row>
    <row r="514" spans="1:25" ht="15.75" hidden="1" customHeight="1" x14ac:dyDescent="0.2">
      <c r="A514" s="181"/>
      <c r="B514" s="174"/>
      <c r="C514" s="175"/>
      <c r="D514" s="175"/>
      <c r="E514" s="175"/>
      <c r="F514" s="122"/>
      <c r="G514" s="122"/>
      <c r="H514" s="122"/>
      <c r="I514" s="122"/>
      <c r="J514" s="173"/>
      <c r="K514" s="181"/>
      <c r="L514" s="181"/>
      <c r="M514" s="181"/>
      <c r="N514" s="181"/>
      <c r="O514" s="181"/>
      <c r="P514" s="181"/>
      <c r="Q514" s="181"/>
      <c r="R514" s="181"/>
      <c r="S514" s="181"/>
      <c r="T514" s="181"/>
      <c r="U514" s="181"/>
      <c r="V514" s="181"/>
      <c r="W514" s="181"/>
      <c r="X514" s="181"/>
      <c r="Y514" s="181"/>
    </row>
    <row r="515" spans="1:25" ht="15.75" hidden="1" customHeight="1" x14ac:dyDescent="0.2">
      <c r="A515" s="181"/>
      <c r="B515" s="174"/>
      <c r="C515" s="175"/>
      <c r="D515" s="175"/>
      <c r="E515" s="175"/>
      <c r="F515" s="122"/>
      <c r="G515" s="122"/>
      <c r="H515" s="122"/>
      <c r="I515" s="122"/>
      <c r="J515" s="173"/>
      <c r="K515" s="181"/>
      <c r="L515" s="181"/>
      <c r="M515" s="181"/>
      <c r="N515" s="181"/>
      <c r="O515" s="181"/>
      <c r="P515" s="181"/>
      <c r="Q515" s="181"/>
      <c r="R515" s="181"/>
      <c r="S515" s="181"/>
      <c r="T515" s="181"/>
      <c r="U515" s="181"/>
      <c r="V515" s="181"/>
      <c r="W515" s="181"/>
      <c r="X515" s="181"/>
      <c r="Y515" s="181"/>
    </row>
    <row r="516" spans="1:25" ht="15.75" hidden="1" customHeight="1" x14ac:dyDescent="0.2">
      <c r="A516" s="181"/>
      <c r="B516" s="174"/>
      <c r="C516" s="175"/>
      <c r="D516" s="175"/>
      <c r="E516" s="175"/>
      <c r="F516" s="122"/>
      <c r="G516" s="122"/>
      <c r="H516" s="122"/>
      <c r="I516" s="122"/>
      <c r="J516" s="173"/>
      <c r="K516" s="181"/>
      <c r="L516" s="181"/>
      <c r="M516" s="181"/>
      <c r="N516" s="181"/>
      <c r="O516" s="181"/>
      <c r="P516" s="181"/>
      <c r="Q516" s="181"/>
      <c r="R516" s="181"/>
      <c r="S516" s="181"/>
      <c r="T516" s="181"/>
      <c r="U516" s="181"/>
      <c r="V516" s="181"/>
      <c r="W516" s="181"/>
      <c r="X516" s="181"/>
      <c r="Y516" s="181"/>
    </row>
    <row r="517" spans="1:25" ht="15.75" hidden="1" customHeight="1" x14ac:dyDescent="0.2">
      <c r="A517" s="181"/>
      <c r="B517" s="174"/>
      <c r="C517" s="175"/>
      <c r="D517" s="175"/>
      <c r="E517" s="175"/>
      <c r="F517" s="122"/>
      <c r="G517" s="122"/>
      <c r="H517" s="122"/>
      <c r="I517" s="122"/>
      <c r="J517" s="173"/>
      <c r="K517" s="181"/>
      <c r="L517" s="181"/>
      <c r="M517" s="181"/>
      <c r="N517" s="181"/>
      <c r="O517" s="181"/>
      <c r="P517" s="181"/>
      <c r="Q517" s="181"/>
      <c r="R517" s="181"/>
      <c r="S517" s="181"/>
      <c r="T517" s="181"/>
      <c r="U517" s="181"/>
      <c r="V517" s="181"/>
      <c r="W517" s="181"/>
      <c r="X517" s="181"/>
      <c r="Y517" s="181"/>
    </row>
    <row r="518" spans="1:25" ht="15.75" hidden="1" customHeight="1" x14ac:dyDescent="0.2">
      <c r="A518" s="181"/>
      <c r="B518" s="174"/>
      <c r="C518" s="175"/>
      <c r="D518" s="175"/>
      <c r="E518" s="175"/>
      <c r="F518" s="122"/>
      <c r="G518" s="122"/>
      <c r="H518" s="122"/>
      <c r="I518" s="122"/>
      <c r="J518" s="173"/>
      <c r="K518" s="181"/>
      <c r="L518" s="181"/>
      <c r="M518" s="181"/>
      <c r="N518" s="181"/>
      <c r="O518" s="181"/>
      <c r="P518" s="181"/>
      <c r="Q518" s="181"/>
      <c r="R518" s="181"/>
      <c r="S518" s="181"/>
      <c r="T518" s="181"/>
      <c r="U518" s="181"/>
      <c r="V518" s="181"/>
      <c r="W518" s="181"/>
      <c r="X518" s="181"/>
      <c r="Y518" s="181"/>
    </row>
    <row r="519" spans="1:25" ht="15.75" hidden="1" customHeight="1" x14ac:dyDescent="0.2">
      <c r="A519" s="181"/>
      <c r="B519" s="174"/>
      <c r="C519" s="175"/>
      <c r="D519" s="175"/>
      <c r="E519" s="175"/>
      <c r="F519" s="122"/>
      <c r="G519" s="122"/>
      <c r="H519" s="122"/>
      <c r="I519" s="122"/>
      <c r="J519" s="173"/>
      <c r="K519" s="181"/>
      <c r="L519" s="181"/>
      <c r="M519" s="181"/>
      <c r="N519" s="181"/>
      <c r="O519" s="181"/>
      <c r="P519" s="181"/>
      <c r="Q519" s="181"/>
      <c r="R519" s="181"/>
      <c r="S519" s="181"/>
      <c r="T519" s="181"/>
      <c r="U519" s="181"/>
      <c r="V519" s="181"/>
      <c r="W519" s="181"/>
      <c r="X519" s="181"/>
      <c r="Y519" s="181"/>
    </row>
    <row r="520" spans="1:25" ht="15.75" hidden="1" customHeight="1" x14ac:dyDescent="0.2">
      <c r="A520" s="181"/>
      <c r="B520" s="174"/>
      <c r="C520" s="175"/>
      <c r="D520" s="175"/>
      <c r="E520" s="175"/>
      <c r="F520" s="122"/>
      <c r="G520" s="122"/>
      <c r="H520" s="122"/>
      <c r="I520" s="122"/>
      <c r="J520" s="173"/>
      <c r="K520" s="181"/>
      <c r="L520" s="181"/>
      <c r="M520" s="181"/>
      <c r="N520" s="181"/>
      <c r="O520" s="181"/>
      <c r="P520" s="181"/>
      <c r="Q520" s="181"/>
      <c r="R520" s="181"/>
      <c r="S520" s="181"/>
      <c r="T520" s="181"/>
      <c r="U520" s="181"/>
      <c r="V520" s="181"/>
      <c r="W520" s="181"/>
      <c r="X520" s="181"/>
      <c r="Y520" s="181"/>
    </row>
    <row r="521" spans="1:25" ht="15.75" hidden="1" customHeight="1" x14ac:dyDescent="0.2">
      <c r="A521" s="181"/>
      <c r="B521" s="174"/>
      <c r="C521" s="175"/>
      <c r="D521" s="175"/>
      <c r="E521" s="175"/>
      <c r="F521" s="122"/>
      <c r="G521" s="122"/>
      <c r="H521" s="122"/>
      <c r="I521" s="122"/>
      <c r="J521" s="173"/>
      <c r="K521" s="181"/>
      <c r="L521" s="181"/>
      <c r="M521" s="181"/>
      <c r="N521" s="181"/>
      <c r="O521" s="181"/>
      <c r="P521" s="181"/>
      <c r="Q521" s="181"/>
      <c r="R521" s="181"/>
      <c r="S521" s="181"/>
      <c r="T521" s="181"/>
      <c r="U521" s="181"/>
      <c r="V521" s="181"/>
      <c r="W521" s="181"/>
      <c r="X521" s="181"/>
      <c r="Y521" s="181"/>
    </row>
    <row r="522" spans="1:25" ht="15.75" hidden="1" customHeight="1" x14ac:dyDescent="0.2">
      <c r="A522" s="181"/>
      <c r="B522" s="174"/>
      <c r="C522" s="175"/>
      <c r="D522" s="175"/>
      <c r="E522" s="175"/>
      <c r="F522" s="122"/>
      <c r="G522" s="122"/>
      <c r="H522" s="122"/>
      <c r="I522" s="122"/>
      <c r="J522" s="173"/>
      <c r="K522" s="181"/>
      <c r="L522" s="181"/>
      <c r="M522" s="181"/>
      <c r="N522" s="181"/>
      <c r="O522" s="181"/>
      <c r="P522" s="181"/>
      <c r="Q522" s="181"/>
      <c r="R522" s="181"/>
      <c r="S522" s="181"/>
      <c r="T522" s="181"/>
      <c r="U522" s="181"/>
      <c r="V522" s="181"/>
      <c r="W522" s="181"/>
      <c r="X522" s="181"/>
      <c r="Y522" s="181"/>
    </row>
    <row r="523" spans="1:25" ht="15.75" hidden="1" customHeight="1" x14ac:dyDescent="0.2">
      <c r="A523" s="181"/>
      <c r="B523" s="174"/>
      <c r="C523" s="175"/>
      <c r="D523" s="175"/>
      <c r="E523" s="175"/>
      <c r="F523" s="122"/>
      <c r="G523" s="122"/>
      <c r="H523" s="122"/>
      <c r="I523" s="122"/>
      <c r="J523" s="173"/>
      <c r="K523" s="181"/>
      <c r="L523" s="181"/>
      <c r="M523" s="181"/>
      <c r="N523" s="181"/>
      <c r="O523" s="181"/>
      <c r="P523" s="181"/>
      <c r="Q523" s="181"/>
      <c r="R523" s="181"/>
      <c r="S523" s="181"/>
      <c r="T523" s="181"/>
      <c r="U523" s="181"/>
      <c r="V523" s="181"/>
      <c r="W523" s="181"/>
      <c r="X523" s="181"/>
      <c r="Y523" s="181"/>
    </row>
    <row r="524" spans="1:25" ht="15.75" hidden="1" customHeight="1" x14ac:dyDescent="0.2">
      <c r="A524" s="181"/>
      <c r="B524" s="174"/>
      <c r="C524" s="175"/>
      <c r="D524" s="175"/>
      <c r="E524" s="175"/>
      <c r="F524" s="122"/>
      <c r="G524" s="122"/>
      <c r="H524" s="122"/>
      <c r="I524" s="122"/>
      <c r="J524" s="173"/>
      <c r="K524" s="181"/>
      <c r="L524" s="181"/>
      <c r="M524" s="181"/>
      <c r="N524" s="181"/>
      <c r="O524" s="181"/>
      <c r="P524" s="181"/>
      <c r="Q524" s="181"/>
      <c r="R524" s="181"/>
      <c r="S524" s="181"/>
      <c r="T524" s="181"/>
      <c r="U524" s="181"/>
      <c r="V524" s="181"/>
      <c r="W524" s="181"/>
      <c r="X524" s="181"/>
      <c r="Y524" s="181"/>
    </row>
    <row r="525" spans="1:25" ht="15.75" hidden="1" customHeight="1" x14ac:dyDescent="0.2">
      <c r="A525" s="181"/>
      <c r="B525" s="174"/>
      <c r="C525" s="175"/>
      <c r="D525" s="175"/>
      <c r="E525" s="175"/>
      <c r="F525" s="122"/>
      <c r="G525" s="122"/>
      <c r="H525" s="122"/>
      <c r="I525" s="122"/>
      <c r="J525" s="173"/>
      <c r="K525" s="181"/>
      <c r="L525" s="181"/>
      <c r="M525" s="181"/>
      <c r="N525" s="181"/>
      <c r="O525" s="181"/>
      <c r="P525" s="181"/>
      <c r="Q525" s="181"/>
      <c r="R525" s="181"/>
      <c r="S525" s="181"/>
      <c r="T525" s="181"/>
      <c r="U525" s="181"/>
      <c r="V525" s="181"/>
      <c r="W525" s="181"/>
      <c r="X525" s="181"/>
      <c r="Y525" s="181"/>
    </row>
    <row r="526" spans="1:25" ht="15.75" hidden="1" customHeight="1" x14ac:dyDescent="0.2">
      <c r="A526" s="181"/>
      <c r="B526" s="174"/>
      <c r="C526" s="175"/>
      <c r="D526" s="175"/>
      <c r="E526" s="175"/>
      <c r="F526" s="122"/>
      <c r="G526" s="122"/>
      <c r="H526" s="122"/>
      <c r="I526" s="122"/>
      <c r="J526" s="173"/>
      <c r="K526" s="181"/>
      <c r="L526" s="181"/>
      <c r="M526" s="181"/>
      <c r="N526" s="181"/>
      <c r="O526" s="181"/>
      <c r="P526" s="181"/>
      <c r="Q526" s="181"/>
      <c r="R526" s="181"/>
      <c r="S526" s="181"/>
      <c r="T526" s="181"/>
      <c r="U526" s="181"/>
      <c r="V526" s="181"/>
      <c r="W526" s="181"/>
      <c r="X526" s="181"/>
      <c r="Y526" s="181"/>
    </row>
    <row r="527" spans="1:25" ht="15.75" hidden="1" customHeight="1" x14ac:dyDescent="0.2">
      <c r="A527" s="181"/>
      <c r="B527" s="174"/>
      <c r="C527" s="175"/>
      <c r="D527" s="175"/>
      <c r="E527" s="175"/>
      <c r="F527" s="122"/>
      <c r="G527" s="122"/>
      <c r="H527" s="122"/>
      <c r="I527" s="122"/>
      <c r="J527" s="173"/>
      <c r="K527" s="181"/>
      <c r="L527" s="181"/>
      <c r="M527" s="181"/>
      <c r="N527" s="181"/>
      <c r="O527" s="181"/>
      <c r="P527" s="181"/>
      <c r="Q527" s="181"/>
      <c r="R527" s="181"/>
      <c r="S527" s="181"/>
      <c r="T527" s="181"/>
      <c r="U527" s="181"/>
      <c r="V527" s="181"/>
      <c r="W527" s="181"/>
      <c r="X527" s="181"/>
      <c r="Y527" s="181"/>
    </row>
    <row r="528" spans="1:25" ht="15.75" hidden="1" customHeight="1" x14ac:dyDescent="0.2">
      <c r="A528" s="181"/>
      <c r="B528" s="174"/>
      <c r="C528" s="175"/>
      <c r="D528" s="175"/>
      <c r="E528" s="175"/>
      <c r="F528" s="122"/>
      <c r="G528" s="122"/>
      <c r="H528" s="122"/>
      <c r="I528" s="122"/>
      <c r="J528" s="173"/>
      <c r="K528" s="181"/>
      <c r="L528" s="181"/>
      <c r="M528" s="181"/>
      <c r="N528" s="181"/>
      <c r="O528" s="181"/>
      <c r="P528" s="181"/>
      <c r="Q528" s="181"/>
      <c r="R528" s="181"/>
      <c r="S528" s="181"/>
      <c r="T528" s="181"/>
      <c r="U528" s="181"/>
      <c r="V528" s="181"/>
      <c r="W528" s="181"/>
      <c r="X528" s="181"/>
      <c r="Y528" s="181"/>
    </row>
    <row r="529" spans="1:25" ht="15.75" hidden="1" customHeight="1" x14ac:dyDescent="0.2">
      <c r="A529" s="181"/>
      <c r="B529" s="174"/>
      <c r="C529" s="175"/>
      <c r="D529" s="175"/>
      <c r="E529" s="175"/>
      <c r="F529" s="122"/>
      <c r="G529" s="122"/>
      <c r="H529" s="122"/>
      <c r="I529" s="122"/>
      <c r="J529" s="173"/>
      <c r="K529" s="181"/>
      <c r="L529" s="181"/>
      <c r="M529" s="181"/>
      <c r="N529" s="181"/>
      <c r="O529" s="181"/>
      <c r="P529" s="181"/>
      <c r="Q529" s="181"/>
      <c r="R529" s="181"/>
      <c r="S529" s="181"/>
      <c r="T529" s="181"/>
      <c r="U529" s="181"/>
      <c r="V529" s="181"/>
      <c r="W529" s="181"/>
      <c r="X529" s="181"/>
      <c r="Y529" s="181"/>
    </row>
    <row r="530" spans="1:25" ht="15.75" hidden="1" customHeight="1" x14ac:dyDescent="0.2">
      <c r="A530" s="181"/>
      <c r="B530" s="174"/>
      <c r="C530" s="175"/>
      <c r="D530" s="175"/>
      <c r="E530" s="175"/>
      <c r="F530" s="122"/>
      <c r="G530" s="122"/>
      <c r="H530" s="122"/>
      <c r="I530" s="122"/>
      <c r="J530" s="173"/>
      <c r="K530" s="181"/>
      <c r="L530" s="181"/>
      <c r="M530" s="181"/>
      <c r="N530" s="181"/>
      <c r="O530" s="181"/>
      <c r="P530" s="181"/>
      <c r="Q530" s="181"/>
      <c r="R530" s="181"/>
      <c r="S530" s="181"/>
      <c r="T530" s="181"/>
      <c r="U530" s="181"/>
      <c r="V530" s="181"/>
      <c r="W530" s="181"/>
      <c r="X530" s="181"/>
      <c r="Y530" s="181"/>
    </row>
    <row r="531" spans="1:25" ht="15.75" hidden="1" customHeight="1" x14ac:dyDescent="0.2">
      <c r="A531" s="181"/>
      <c r="B531" s="174"/>
      <c r="C531" s="175"/>
      <c r="D531" s="175"/>
      <c r="E531" s="175"/>
      <c r="F531" s="122"/>
      <c r="G531" s="122"/>
      <c r="H531" s="122"/>
      <c r="I531" s="122"/>
      <c r="J531" s="173"/>
      <c r="K531" s="181"/>
      <c r="L531" s="181"/>
      <c r="M531" s="181"/>
      <c r="N531" s="181"/>
      <c r="O531" s="181"/>
      <c r="P531" s="181"/>
      <c r="Q531" s="181"/>
      <c r="R531" s="181"/>
      <c r="S531" s="181"/>
      <c r="T531" s="181"/>
      <c r="U531" s="181"/>
      <c r="V531" s="181"/>
      <c r="W531" s="181"/>
      <c r="X531" s="181"/>
      <c r="Y531" s="181"/>
    </row>
    <row r="532" spans="1:25" ht="15.75" hidden="1" customHeight="1" x14ac:dyDescent="0.2">
      <c r="A532" s="181"/>
      <c r="B532" s="174"/>
      <c r="C532" s="175"/>
      <c r="D532" s="175"/>
      <c r="E532" s="175"/>
      <c r="F532" s="122"/>
      <c r="G532" s="122"/>
      <c r="H532" s="122"/>
      <c r="I532" s="122"/>
      <c r="J532" s="173"/>
      <c r="K532" s="181"/>
      <c r="L532" s="181"/>
      <c r="M532" s="181"/>
      <c r="N532" s="181"/>
      <c r="O532" s="181"/>
      <c r="P532" s="181"/>
      <c r="Q532" s="181"/>
      <c r="R532" s="181"/>
      <c r="S532" s="181"/>
      <c r="T532" s="181"/>
      <c r="U532" s="181"/>
      <c r="V532" s="181"/>
      <c r="W532" s="181"/>
      <c r="X532" s="181"/>
      <c r="Y532" s="181"/>
    </row>
    <row r="533" spans="1:25" ht="15.75" hidden="1" customHeight="1" x14ac:dyDescent="0.2">
      <c r="A533" s="181"/>
      <c r="B533" s="174"/>
      <c r="C533" s="175"/>
      <c r="D533" s="175"/>
      <c r="E533" s="175"/>
      <c r="F533" s="122"/>
      <c r="G533" s="122"/>
      <c r="H533" s="122"/>
      <c r="I533" s="122"/>
      <c r="J533" s="173"/>
      <c r="K533" s="181"/>
      <c r="L533" s="181"/>
      <c r="M533" s="181"/>
      <c r="N533" s="181"/>
      <c r="O533" s="181"/>
      <c r="P533" s="181"/>
      <c r="Q533" s="181"/>
      <c r="R533" s="181"/>
      <c r="S533" s="181"/>
      <c r="T533" s="181"/>
      <c r="U533" s="181"/>
      <c r="V533" s="181"/>
      <c r="W533" s="181"/>
      <c r="X533" s="181"/>
      <c r="Y533" s="181"/>
    </row>
    <row r="534" spans="1:25" ht="15.75" hidden="1" customHeight="1" x14ac:dyDescent="0.2">
      <c r="A534" s="181"/>
      <c r="B534" s="174"/>
      <c r="C534" s="175"/>
      <c r="D534" s="175"/>
      <c r="E534" s="175"/>
      <c r="F534" s="122"/>
      <c r="G534" s="122"/>
      <c r="H534" s="122"/>
      <c r="I534" s="122"/>
      <c r="J534" s="173"/>
      <c r="K534" s="181"/>
      <c r="L534" s="181"/>
      <c r="M534" s="181"/>
      <c r="N534" s="181"/>
      <c r="O534" s="181"/>
      <c r="P534" s="181"/>
      <c r="Q534" s="181"/>
      <c r="R534" s="181"/>
      <c r="S534" s="181"/>
      <c r="T534" s="181"/>
      <c r="U534" s="181"/>
      <c r="V534" s="181"/>
      <c r="W534" s="181"/>
      <c r="X534" s="181"/>
      <c r="Y534" s="181"/>
    </row>
    <row r="535" spans="1:25" ht="15.75" hidden="1" customHeight="1" x14ac:dyDescent="0.2">
      <c r="A535" s="181"/>
      <c r="B535" s="174"/>
      <c r="C535" s="175"/>
      <c r="D535" s="175"/>
      <c r="E535" s="175"/>
      <c r="F535" s="122"/>
      <c r="G535" s="122"/>
      <c r="H535" s="122"/>
      <c r="I535" s="122"/>
      <c r="J535" s="173"/>
      <c r="K535" s="181"/>
      <c r="L535" s="181"/>
      <c r="M535" s="181"/>
      <c r="N535" s="181"/>
      <c r="O535" s="181"/>
      <c r="P535" s="181"/>
      <c r="Q535" s="181"/>
      <c r="R535" s="181"/>
      <c r="S535" s="181"/>
      <c r="T535" s="181"/>
      <c r="U535" s="181"/>
      <c r="V535" s="181"/>
      <c r="W535" s="181"/>
      <c r="X535" s="181"/>
      <c r="Y535" s="181"/>
    </row>
    <row r="536" spans="1:25" ht="15.75" hidden="1" customHeight="1" x14ac:dyDescent="0.2">
      <c r="A536" s="181"/>
      <c r="B536" s="174"/>
      <c r="C536" s="175"/>
      <c r="D536" s="175"/>
      <c r="E536" s="175"/>
      <c r="F536" s="122"/>
      <c r="G536" s="122"/>
      <c r="H536" s="122"/>
      <c r="I536" s="122"/>
      <c r="J536" s="173"/>
      <c r="K536" s="181"/>
      <c r="L536" s="181"/>
      <c r="M536" s="181"/>
      <c r="N536" s="181"/>
      <c r="O536" s="181"/>
      <c r="P536" s="181"/>
      <c r="Q536" s="181"/>
      <c r="R536" s="181"/>
      <c r="S536" s="181"/>
      <c r="T536" s="181"/>
      <c r="U536" s="181"/>
      <c r="V536" s="181"/>
      <c r="W536" s="181"/>
      <c r="X536" s="181"/>
      <c r="Y536" s="181"/>
    </row>
    <row r="537" spans="1:25" ht="15.75" hidden="1" customHeight="1" x14ac:dyDescent="0.2">
      <c r="A537" s="181"/>
      <c r="B537" s="174"/>
      <c r="C537" s="175"/>
      <c r="D537" s="175"/>
      <c r="E537" s="175"/>
      <c r="F537" s="122"/>
      <c r="G537" s="122"/>
      <c r="H537" s="122"/>
      <c r="I537" s="122"/>
      <c r="J537" s="173"/>
      <c r="K537" s="181"/>
      <c r="L537" s="181"/>
      <c r="M537" s="181"/>
      <c r="N537" s="181"/>
      <c r="O537" s="181"/>
      <c r="P537" s="181"/>
      <c r="Q537" s="181"/>
      <c r="R537" s="181"/>
      <c r="S537" s="181"/>
      <c r="T537" s="181"/>
      <c r="U537" s="181"/>
      <c r="V537" s="181"/>
      <c r="W537" s="181"/>
      <c r="X537" s="181"/>
      <c r="Y537" s="181"/>
    </row>
    <row r="538" spans="1:25" ht="15.75" hidden="1" customHeight="1" x14ac:dyDescent="0.2">
      <c r="A538" s="181"/>
      <c r="B538" s="174"/>
      <c r="C538" s="175"/>
      <c r="D538" s="175"/>
      <c r="E538" s="175"/>
      <c r="F538" s="122"/>
      <c r="G538" s="122"/>
      <c r="H538" s="122"/>
      <c r="I538" s="122"/>
      <c r="J538" s="173"/>
      <c r="K538" s="181"/>
      <c r="L538" s="181"/>
      <c r="M538" s="181"/>
      <c r="N538" s="181"/>
      <c r="O538" s="181"/>
      <c r="P538" s="181"/>
      <c r="Q538" s="181"/>
      <c r="R538" s="181"/>
      <c r="S538" s="181"/>
      <c r="T538" s="181"/>
      <c r="U538" s="181"/>
      <c r="V538" s="181"/>
      <c r="W538" s="181"/>
      <c r="X538" s="181"/>
      <c r="Y538" s="181"/>
    </row>
    <row r="539" spans="1:25" ht="15.75" hidden="1" customHeight="1" x14ac:dyDescent="0.2">
      <c r="A539" s="181"/>
      <c r="B539" s="174"/>
      <c r="C539" s="175"/>
      <c r="D539" s="175"/>
      <c r="E539" s="175"/>
      <c r="F539" s="122"/>
      <c r="G539" s="122"/>
      <c r="H539" s="122"/>
      <c r="I539" s="122"/>
      <c r="J539" s="173"/>
      <c r="K539" s="181"/>
      <c r="L539" s="181"/>
      <c r="M539" s="181"/>
      <c r="N539" s="181"/>
      <c r="O539" s="181"/>
      <c r="P539" s="181"/>
      <c r="Q539" s="181"/>
      <c r="R539" s="181"/>
      <c r="S539" s="181"/>
      <c r="T539" s="181"/>
      <c r="U539" s="181"/>
      <c r="V539" s="181"/>
      <c r="W539" s="181"/>
      <c r="X539" s="181"/>
      <c r="Y539" s="181"/>
    </row>
    <row r="540" spans="1:25" ht="15.75" hidden="1" customHeight="1" x14ac:dyDescent="0.2">
      <c r="A540" s="181"/>
      <c r="B540" s="174"/>
      <c r="C540" s="175"/>
      <c r="D540" s="175"/>
      <c r="E540" s="175"/>
      <c r="F540" s="122"/>
      <c r="G540" s="122"/>
      <c r="H540" s="122"/>
      <c r="I540" s="122"/>
      <c r="J540" s="173"/>
      <c r="K540" s="181"/>
      <c r="L540" s="181"/>
      <c r="M540" s="181"/>
      <c r="N540" s="181"/>
      <c r="O540" s="181"/>
      <c r="P540" s="181"/>
      <c r="Q540" s="181"/>
      <c r="R540" s="181"/>
      <c r="S540" s="181"/>
      <c r="T540" s="181"/>
      <c r="U540" s="181"/>
      <c r="V540" s="181"/>
      <c r="W540" s="181"/>
      <c r="X540" s="181"/>
      <c r="Y540" s="181"/>
    </row>
    <row r="541" spans="1:25" ht="15.75" hidden="1" customHeight="1" x14ac:dyDescent="0.2">
      <c r="A541" s="181"/>
      <c r="B541" s="174"/>
      <c r="C541" s="175"/>
      <c r="D541" s="175"/>
      <c r="E541" s="175"/>
      <c r="F541" s="122"/>
      <c r="G541" s="122"/>
      <c r="H541" s="122"/>
      <c r="I541" s="122"/>
      <c r="J541" s="173"/>
      <c r="K541" s="181"/>
      <c r="L541" s="181"/>
      <c r="M541" s="181"/>
      <c r="N541" s="181"/>
      <c r="O541" s="181"/>
      <c r="P541" s="181"/>
      <c r="Q541" s="181"/>
      <c r="R541" s="181"/>
      <c r="S541" s="181"/>
      <c r="T541" s="181"/>
      <c r="U541" s="181"/>
      <c r="V541" s="181"/>
      <c r="W541" s="181"/>
      <c r="X541" s="181"/>
      <c r="Y541" s="181"/>
    </row>
    <row r="542" spans="1:25" ht="15.75" hidden="1" customHeight="1" x14ac:dyDescent="0.2">
      <c r="A542" s="181"/>
      <c r="B542" s="174"/>
      <c r="C542" s="175"/>
      <c r="D542" s="175"/>
      <c r="E542" s="175"/>
      <c r="F542" s="122"/>
      <c r="G542" s="122"/>
      <c r="H542" s="122"/>
      <c r="I542" s="122"/>
      <c r="J542" s="173"/>
      <c r="K542" s="181"/>
      <c r="L542" s="181"/>
      <c r="M542" s="181"/>
      <c r="N542" s="181"/>
      <c r="O542" s="181"/>
      <c r="P542" s="181"/>
      <c r="Q542" s="181"/>
      <c r="R542" s="181"/>
      <c r="S542" s="181"/>
      <c r="T542" s="181"/>
      <c r="U542" s="181"/>
      <c r="V542" s="181"/>
      <c r="W542" s="181"/>
      <c r="X542" s="181"/>
      <c r="Y542" s="181"/>
    </row>
    <row r="543" spans="1:25" ht="15.75" hidden="1" customHeight="1" x14ac:dyDescent="0.2">
      <c r="A543" s="181"/>
      <c r="B543" s="174"/>
      <c r="C543" s="175"/>
      <c r="D543" s="175"/>
      <c r="E543" s="175"/>
      <c r="F543" s="122"/>
      <c r="G543" s="122"/>
      <c r="H543" s="122"/>
      <c r="I543" s="122"/>
      <c r="J543" s="173"/>
      <c r="K543" s="181"/>
      <c r="L543" s="181"/>
      <c r="M543" s="181"/>
      <c r="N543" s="181"/>
      <c r="O543" s="181"/>
      <c r="P543" s="181"/>
      <c r="Q543" s="181"/>
      <c r="R543" s="181"/>
      <c r="S543" s="181"/>
      <c r="T543" s="181"/>
      <c r="U543" s="181"/>
      <c r="V543" s="181"/>
      <c r="W543" s="181"/>
      <c r="X543" s="181"/>
      <c r="Y543" s="181"/>
    </row>
    <row r="544" spans="1:25" ht="15.75" hidden="1" customHeight="1" x14ac:dyDescent="0.2">
      <c r="A544" s="181"/>
      <c r="B544" s="174"/>
      <c r="C544" s="175"/>
      <c r="D544" s="175"/>
      <c r="E544" s="175"/>
      <c r="F544" s="122"/>
      <c r="G544" s="122"/>
      <c r="H544" s="122"/>
      <c r="I544" s="122"/>
      <c r="J544" s="173"/>
      <c r="K544" s="181"/>
      <c r="L544" s="181"/>
      <c r="M544" s="181"/>
      <c r="N544" s="181"/>
      <c r="O544" s="181"/>
      <c r="P544" s="181"/>
      <c r="Q544" s="181"/>
      <c r="R544" s="181"/>
      <c r="S544" s="181"/>
      <c r="T544" s="181"/>
      <c r="U544" s="181"/>
      <c r="V544" s="181"/>
      <c r="W544" s="181"/>
      <c r="X544" s="181"/>
      <c r="Y544" s="181"/>
    </row>
    <row r="545" spans="1:25" ht="15.75" hidden="1" customHeight="1" x14ac:dyDescent="0.2">
      <c r="A545" s="181"/>
      <c r="B545" s="174"/>
      <c r="C545" s="175"/>
      <c r="D545" s="175"/>
      <c r="E545" s="175"/>
      <c r="F545" s="122"/>
      <c r="G545" s="122"/>
      <c r="H545" s="122"/>
      <c r="I545" s="122"/>
      <c r="J545" s="173"/>
      <c r="K545" s="181"/>
      <c r="L545" s="181"/>
      <c r="M545" s="181"/>
      <c r="N545" s="181"/>
      <c r="O545" s="181"/>
      <c r="P545" s="181"/>
      <c r="Q545" s="181"/>
      <c r="R545" s="181"/>
      <c r="S545" s="181"/>
      <c r="T545" s="181"/>
      <c r="U545" s="181"/>
      <c r="V545" s="181"/>
      <c r="W545" s="181"/>
      <c r="X545" s="181"/>
      <c r="Y545" s="181"/>
    </row>
    <row r="546" spans="1:25" ht="15.75" hidden="1" customHeight="1" x14ac:dyDescent="0.2">
      <c r="A546" s="181"/>
      <c r="B546" s="174"/>
      <c r="C546" s="175"/>
      <c r="D546" s="175"/>
      <c r="E546" s="175"/>
      <c r="F546" s="122"/>
      <c r="G546" s="122"/>
      <c r="H546" s="122"/>
      <c r="I546" s="122"/>
      <c r="J546" s="173"/>
      <c r="K546" s="181"/>
      <c r="L546" s="181"/>
      <c r="M546" s="181"/>
      <c r="N546" s="181"/>
      <c r="O546" s="181"/>
      <c r="P546" s="181"/>
      <c r="Q546" s="181"/>
      <c r="R546" s="181"/>
      <c r="S546" s="181"/>
      <c r="T546" s="181"/>
      <c r="U546" s="181"/>
      <c r="V546" s="181"/>
      <c r="W546" s="181"/>
      <c r="X546" s="181"/>
      <c r="Y546" s="181"/>
    </row>
    <row r="547" spans="1:25" ht="15.75" hidden="1" customHeight="1" x14ac:dyDescent="0.2">
      <c r="A547" s="181"/>
      <c r="B547" s="174"/>
      <c r="C547" s="175"/>
      <c r="D547" s="175"/>
      <c r="E547" s="175"/>
      <c r="F547" s="122"/>
      <c r="G547" s="122"/>
      <c r="H547" s="122"/>
      <c r="I547" s="122"/>
      <c r="J547" s="173"/>
      <c r="K547" s="181"/>
      <c r="L547" s="181"/>
      <c r="M547" s="181"/>
      <c r="N547" s="181"/>
      <c r="O547" s="181"/>
      <c r="P547" s="181"/>
      <c r="Q547" s="181"/>
      <c r="R547" s="181"/>
      <c r="S547" s="181"/>
      <c r="T547" s="181"/>
      <c r="U547" s="181"/>
      <c r="V547" s="181"/>
      <c r="W547" s="181"/>
      <c r="X547" s="181"/>
      <c r="Y547" s="181"/>
    </row>
    <row r="548" spans="1:25" ht="15.75" hidden="1" customHeight="1" x14ac:dyDescent="0.2">
      <c r="A548" s="181"/>
      <c r="B548" s="174"/>
      <c r="C548" s="175"/>
      <c r="D548" s="175"/>
      <c r="E548" s="175"/>
      <c r="F548" s="122"/>
      <c r="G548" s="122"/>
      <c r="H548" s="122"/>
      <c r="I548" s="122"/>
      <c r="J548" s="173"/>
      <c r="K548" s="181"/>
      <c r="L548" s="181"/>
      <c r="M548" s="181"/>
      <c r="N548" s="181"/>
      <c r="O548" s="181"/>
      <c r="P548" s="181"/>
      <c r="Q548" s="181"/>
      <c r="R548" s="181"/>
      <c r="S548" s="181"/>
      <c r="T548" s="181"/>
      <c r="U548" s="181"/>
      <c r="V548" s="181"/>
      <c r="W548" s="181"/>
      <c r="X548" s="181"/>
      <c r="Y548" s="181"/>
    </row>
    <row r="549" spans="1:25" ht="15.75" hidden="1" customHeight="1" x14ac:dyDescent="0.2">
      <c r="A549" s="181"/>
      <c r="B549" s="174"/>
      <c r="C549" s="175"/>
      <c r="D549" s="175"/>
      <c r="E549" s="175"/>
      <c r="F549" s="122"/>
      <c r="G549" s="122"/>
      <c r="H549" s="122"/>
      <c r="I549" s="122"/>
      <c r="J549" s="173"/>
      <c r="K549" s="181"/>
      <c r="L549" s="181"/>
      <c r="M549" s="181"/>
      <c r="N549" s="181"/>
      <c r="O549" s="181"/>
      <c r="P549" s="181"/>
      <c r="Q549" s="181"/>
      <c r="R549" s="181"/>
      <c r="S549" s="181"/>
      <c r="T549" s="181"/>
      <c r="U549" s="181"/>
      <c r="V549" s="181"/>
      <c r="W549" s="181"/>
      <c r="X549" s="181"/>
      <c r="Y549" s="181"/>
    </row>
    <row r="550" spans="1:25" ht="15.75" hidden="1" customHeight="1" x14ac:dyDescent="0.2">
      <c r="A550" s="181"/>
      <c r="B550" s="174"/>
      <c r="C550" s="175"/>
      <c r="D550" s="175"/>
      <c r="E550" s="175"/>
      <c r="F550" s="122"/>
      <c r="G550" s="122"/>
      <c r="H550" s="122"/>
      <c r="I550" s="122"/>
      <c r="J550" s="173"/>
      <c r="K550" s="181"/>
      <c r="L550" s="181"/>
      <c r="M550" s="181"/>
      <c r="N550" s="181"/>
      <c r="O550" s="181"/>
      <c r="P550" s="181"/>
      <c r="Q550" s="181"/>
      <c r="R550" s="181"/>
      <c r="S550" s="181"/>
      <c r="T550" s="181"/>
      <c r="U550" s="181"/>
      <c r="V550" s="181"/>
      <c r="W550" s="181"/>
      <c r="X550" s="181"/>
      <c r="Y550" s="181"/>
    </row>
    <row r="551" spans="1:25" ht="15.75" hidden="1" customHeight="1" x14ac:dyDescent="0.2">
      <c r="A551" s="181"/>
      <c r="B551" s="174"/>
      <c r="C551" s="175"/>
      <c r="D551" s="175"/>
      <c r="E551" s="175"/>
      <c r="F551" s="122"/>
      <c r="G551" s="122"/>
      <c r="H551" s="122"/>
      <c r="I551" s="122"/>
      <c r="J551" s="173"/>
      <c r="K551" s="181"/>
      <c r="L551" s="181"/>
      <c r="M551" s="181"/>
      <c r="N551" s="181"/>
      <c r="O551" s="181"/>
      <c r="P551" s="181"/>
      <c r="Q551" s="181"/>
      <c r="R551" s="181"/>
      <c r="S551" s="181"/>
      <c r="T551" s="181"/>
      <c r="U551" s="181"/>
      <c r="V551" s="181"/>
      <c r="W551" s="181"/>
      <c r="X551" s="181"/>
      <c r="Y551" s="181"/>
    </row>
    <row r="552" spans="1:25" ht="15.75" hidden="1" customHeight="1" x14ac:dyDescent="0.2">
      <c r="A552" s="181"/>
      <c r="B552" s="174"/>
      <c r="C552" s="175"/>
      <c r="D552" s="175"/>
      <c r="E552" s="175"/>
      <c r="F552" s="122"/>
      <c r="G552" s="122"/>
      <c r="H552" s="122"/>
      <c r="I552" s="122"/>
      <c r="J552" s="173"/>
      <c r="K552" s="181"/>
      <c r="L552" s="181"/>
      <c r="M552" s="181"/>
      <c r="N552" s="181"/>
      <c r="O552" s="181"/>
      <c r="P552" s="181"/>
      <c r="Q552" s="181"/>
      <c r="R552" s="181"/>
      <c r="S552" s="181"/>
      <c r="T552" s="181"/>
      <c r="U552" s="181"/>
      <c r="V552" s="181"/>
      <c r="W552" s="181"/>
      <c r="X552" s="181"/>
      <c r="Y552" s="181"/>
    </row>
    <row r="553" spans="1:25" ht="15.75" hidden="1" customHeight="1" x14ac:dyDescent="0.2">
      <c r="A553" s="181"/>
      <c r="B553" s="174"/>
      <c r="C553" s="175"/>
      <c r="D553" s="175"/>
      <c r="E553" s="175"/>
      <c r="F553" s="122"/>
      <c r="G553" s="122"/>
      <c r="H553" s="122"/>
      <c r="I553" s="122"/>
      <c r="J553" s="173"/>
      <c r="K553" s="181"/>
      <c r="L553" s="181"/>
      <c r="M553" s="181"/>
      <c r="N553" s="181"/>
      <c r="O553" s="181"/>
      <c r="P553" s="181"/>
      <c r="Q553" s="181"/>
      <c r="R553" s="181"/>
      <c r="S553" s="181"/>
      <c r="T553" s="181"/>
      <c r="U553" s="181"/>
      <c r="V553" s="181"/>
      <c r="W553" s="181"/>
      <c r="X553" s="181"/>
      <c r="Y553" s="181"/>
    </row>
    <row r="554" spans="1:25" ht="15.75" hidden="1" customHeight="1" x14ac:dyDescent="0.2">
      <c r="A554" s="181"/>
      <c r="B554" s="174"/>
      <c r="C554" s="175"/>
      <c r="D554" s="175"/>
      <c r="E554" s="175"/>
      <c r="F554" s="122"/>
      <c r="G554" s="122"/>
      <c r="H554" s="122"/>
      <c r="I554" s="122"/>
      <c r="J554" s="173"/>
      <c r="K554" s="181"/>
      <c r="L554" s="181"/>
      <c r="M554" s="181"/>
      <c r="N554" s="181"/>
      <c r="O554" s="181"/>
      <c r="P554" s="181"/>
      <c r="Q554" s="181"/>
      <c r="R554" s="181"/>
      <c r="S554" s="181"/>
      <c r="T554" s="181"/>
      <c r="U554" s="181"/>
      <c r="V554" s="181"/>
      <c r="W554" s="181"/>
      <c r="X554" s="181"/>
      <c r="Y554" s="181"/>
    </row>
    <row r="555" spans="1:25" ht="15.75" hidden="1" customHeight="1" x14ac:dyDescent="0.2">
      <c r="A555" s="181"/>
      <c r="B555" s="174"/>
      <c r="C555" s="175"/>
      <c r="D555" s="175"/>
      <c r="E555" s="175"/>
      <c r="F555" s="122"/>
      <c r="G555" s="122"/>
      <c r="H555" s="122"/>
      <c r="I555" s="122"/>
      <c r="J555" s="173"/>
      <c r="K555" s="181"/>
      <c r="L555" s="181"/>
      <c r="M555" s="181"/>
      <c r="N555" s="181"/>
      <c r="O555" s="181"/>
      <c r="P555" s="181"/>
      <c r="Q555" s="181"/>
      <c r="R555" s="181"/>
      <c r="S555" s="181"/>
      <c r="T555" s="181"/>
      <c r="U555" s="181"/>
      <c r="V555" s="181"/>
      <c r="W555" s="181"/>
      <c r="X555" s="181"/>
      <c r="Y555" s="181"/>
    </row>
    <row r="556" spans="1:25" ht="15.75" hidden="1" customHeight="1" x14ac:dyDescent="0.2">
      <c r="A556" s="181"/>
      <c r="B556" s="174"/>
      <c r="C556" s="175"/>
      <c r="D556" s="175"/>
      <c r="E556" s="175"/>
      <c r="F556" s="122"/>
      <c r="G556" s="122"/>
      <c r="H556" s="122"/>
      <c r="I556" s="122"/>
      <c r="J556" s="173"/>
      <c r="K556" s="181"/>
      <c r="L556" s="181"/>
      <c r="M556" s="181"/>
      <c r="N556" s="181"/>
      <c r="O556" s="181"/>
      <c r="P556" s="181"/>
      <c r="Q556" s="181"/>
      <c r="R556" s="181"/>
      <c r="S556" s="181"/>
      <c r="T556" s="181"/>
      <c r="U556" s="181"/>
      <c r="V556" s="181"/>
      <c r="W556" s="181"/>
      <c r="X556" s="181"/>
      <c r="Y556" s="181"/>
    </row>
    <row r="557" spans="1:25" ht="15.75" hidden="1" customHeight="1" x14ac:dyDescent="0.2">
      <c r="A557" s="181"/>
      <c r="B557" s="174"/>
      <c r="C557" s="175"/>
      <c r="D557" s="175"/>
      <c r="E557" s="175"/>
      <c r="F557" s="122"/>
      <c r="G557" s="122"/>
      <c r="H557" s="122"/>
      <c r="I557" s="122"/>
      <c r="J557" s="173"/>
      <c r="K557" s="181"/>
      <c r="L557" s="181"/>
      <c r="M557" s="181"/>
      <c r="N557" s="181"/>
      <c r="O557" s="181"/>
      <c r="P557" s="181"/>
      <c r="Q557" s="181"/>
      <c r="R557" s="181"/>
      <c r="S557" s="181"/>
      <c r="T557" s="181"/>
      <c r="U557" s="181"/>
      <c r="V557" s="181"/>
      <c r="W557" s="181"/>
      <c r="X557" s="181"/>
      <c r="Y557" s="181"/>
    </row>
    <row r="558" spans="1:25" ht="15.75" hidden="1" customHeight="1" x14ac:dyDescent="0.2">
      <c r="A558" s="181"/>
      <c r="B558" s="174"/>
      <c r="C558" s="175"/>
      <c r="D558" s="175"/>
      <c r="E558" s="175"/>
      <c r="F558" s="122"/>
      <c r="G558" s="122"/>
      <c r="H558" s="122"/>
      <c r="I558" s="122"/>
      <c r="J558" s="173"/>
      <c r="K558" s="181"/>
      <c r="L558" s="181"/>
      <c r="M558" s="181"/>
      <c r="N558" s="181"/>
      <c r="O558" s="181"/>
      <c r="P558" s="181"/>
      <c r="Q558" s="181"/>
      <c r="R558" s="181"/>
      <c r="S558" s="181"/>
      <c r="T558" s="181"/>
      <c r="U558" s="181"/>
      <c r="V558" s="181"/>
      <c r="W558" s="181"/>
      <c r="X558" s="181"/>
      <c r="Y558" s="181"/>
    </row>
    <row r="559" spans="1:25" ht="15.75" hidden="1" customHeight="1" x14ac:dyDescent="0.2">
      <c r="A559" s="181"/>
      <c r="B559" s="174"/>
      <c r="C559" s="175"/>
      <c r="D559" s="175"/>
      <c r="E559" s="175"/>
      <c r="F559" s="122"/>
      <c r="G559" s="122"/>
      <c r="H559" s="122"/>
      <c r="I559" s="122"/>
      <c r="J559" s="173"/>
      <c r="K559" s="181"/>
      <c r="L559" s="181"/>
      <c r="M559" s="181"/>
      <c r="N559" s="181"/>
      <c r="O559" s="181"/>
      <c r="P559" s="181"/>
      <c r="Q559" s="181"/>
      <c r="R559" s="181"/>
      <c r="S559" s="181"/>
      <c r="T559" s="181"/>
      <c r="U559" s="181"/>
      <c r="V559" s="181"/>
      <c r="W559" s="181"/>
      <c r="X559" s="181"/>
      <c r="Y559" s="181"/>
    </row>
    <row r="560" spans="1:25" ht="15.75" hidden="1" customHeight="1" x14ac:dyDescent="0.2">
      <c r="A560" s="181"/>
      <c r="B560" s="174"/>
      <c r="C560" s="175"/>
      <c r="D560" s="175"/>
      <c r="E560" s="175"/>
      <c r="F560" s="122"/>
      <c r="G560" s="122"/>
      <c r="H560" s="122"/>
      <c r="I560" s="122"/>
      <c r="J560" s="173"/>
      <c r="K560" s="181"/>
      <c r="L560" s="181"/>
      <c r="M560" s="181"/>
      <c r="N560" s="181"/>
      <c r="O560" s="181"/>
      <c r="P560" s="181"/>
      <c r="Q560" s="181"/>
      <c r="R560" s="181"/>
      <c r="S560" s="181"/>
      <c r="T560" s="181"/>
      <c r="U560" s="181"/>
      <c r="V560" s="181"/>
      <c r="W560" s="181"/>
      <c r="X560" s="181"/>
      <c r="Y560" s="181"/>
    </row>
    <row r="561" spans="1:25" ht="15.75" hidden="1" customHeight="1" x14ac:dyDescent="0.2">
      <c r="A561" s="181"/>
      <c r="B561" s="174"/>
      <c r="C561" s="175"/>
      <c r="D561" s="175"/>
      <c r="E561" s="175"/>
      <c r="F561" s="122"/>
      <c r="G561" s="122"/>
      <c r="H561" s="122"/>
      <c r="I561" s="122"/>
      <c r="J561" s="173"/>
      <c r="K561" s="181"/>
      <c r="L561" s="181"/>
      <c r="M561" s="181"/>
      <c r="N561" s="181"/>
      <c r="O561" s="181"/>
      <c r="P561" s="181"/>
      <c r="Q561" s="181"/>
      <c r="R561" s="181"/>
      <c r="S561" s="181"/>
      <c r="T561" s="181"/>
      <c r="U561" s="181"/>
      <c r="V561" s="181"/>
      <c r="W561" s="181"/>
      <c r="X561" s="181"/>
      <c r="Y561" s="181"/>
    </row>
    <row r="562" spans="1:25" ht="15.75" hidden="1" customHeight="1" x14ac:dyDescent="0.2">
      <c r="A562" s="181"/>
      <c r="B562" s="174"/>
      <c r="C562" s="175"/>
      <c r="D562" s="175"/>
      <c r="E562" s="175"/>
      <c r="F562" s="122"/>
      <c r="G562" s="122"/>
      <c r="H562" s="122"/>
      <c r="I562" s="122"/>
      <c r="J562" s="173"/>
      <c r="K562" s="181"/>
      <c r="L562" s="181"/>
      <c r="M562" s="181"/>
      <c r="N562" s="181"/>
      <c r="O562" s="181"/>
      <c r="P562" s="181"/>
      <c r="Q562" s="181"/>
      <c r="R562" s="181"/>
      <c r="S562" s="181"/>
      <c r="T562" s="181"/>
      <c r="U562" s="181"/>
      <c r="V562" s="181"/>
      <c r="W562" s="181"/>
      <c r="X562" s="181"/>
      <c r="Y562" s="181"/>
    </row>
    <row r="563" spans="1:25" ht="15.75" hidden="1" customHeight="1" x14ac:dyDescent="0.2">
      <c r="A563" s="181"/>
      <c r="B563" s="174"/>
      <c r="C563" s="175"/>
      <c r="D563" s="175"/>
      <c r="E563" s="175"/>
      <c r="F563" s="122"/>
      <c r="G563" s="122"/>
      <c r="H563" s="122"/>
      <c r="I563" s="122"/>
      <c r="J563" s="173"/>
      <c r="K563" s="181"/>
      <c r="L563" s="181"/>
      <c r="M563" s="181"/>
      <c r="N563" s="181"/>
      <c r="O563" s="181"/>
      <c r="P563" s="181"/>
      <c r="Q563" s="181"/>
      <c r="R563" s="181"/>
      <c r="S563" s="181"/>
      <c r="T563" s="181"/>
      <c r="U563" s="181"/>
      <c r="V563" s="181"/>
      <c r="W563" s="181"/>
      <c r="X563" s="181"/>
      <c r="Y563" s="181"/>
    </row>
    <row r="564" spans="1:25" ht="15.75" hidden="1" customHeight="1" x14ac:dyDescent="0.2">
      <c r="A564" s="181"/>
      <c r="B564" s="174"/>
      <c r="C564" s="175"/>
      <c r="D564" s="175"/>
      <c r="E564" s="175"/>
      <c r="F564" s="122"/>
      <c r="G564" s="122"/>
      <c r="H564" s="122"/>
      <c r="I564" s="122"/>
      <c r="J564" s="173"/>
      <c r="K564" s="181"/>
      <c r="L564" s="181"/>
      <c r="M564" s="181"/>
      <c r="N564" s="181"/>
      <c r="O564" s="181"/>
      <c r="P564" s="181"/>
      <c r="Q564" s="181"/>
      <c r="R564" s="181"/>
      <c r="S564" s="181"/>
      <c r="T564" s="181"/>
      <c r="U564" s="181"/>
      <c r="V564" s="181"/>
      <c r="W564" s="181"/>
      <c r="X564" s="181"/>
      <c r="Y564" s="181"/>
    </row>
    <row r="565" spans="1:25" ht="15.75" hidden="1" customHeight="1" x14ac:dyDescent="0.2">
      <c r="A565" s="181"/>
      <c r="B565" s="174"/>
      <c r="C565" s="175"/>
      <c r="D565" s="175"/>
      <c r="E565" s="175"/>
      <c r="F565" s="122"/>
      <c r="G565" s="122"/>
      <c r="H565" s="122"/>
      <c r="I565" s="122"/>
      <c r="J565" s="173"/>
      <c r="K565" s="181"/>
      <c r="L565" s="181"/>
      <c r="M565" s="181"/>
      <c r="N565" s="181"/>
      <c r="O565" s="181"/>
      <c r="P565" s="181"/>
      <c r="Q565" s="181"/>
      <c r="R565" s="181"/>
      <c r="S565" s="181"/>
      <c r="T565" s="181"/>
      <c r="U565" s="181"/>
      <c r="V565" s="181"/>
      <c r="W565" s="181"/>
      <c r="X565" s="181"/>
      <c r="Y565" s="181"/>
    </row>
    <row r="566" spans="1:25" ht="15.75" hidden="1" customHeight="1" x14ac:dyDescent="0.2">
      <c r="A566" s="181"/>
      <c r="B566" s="174"/>
      <c r="C566" s="175"/>
      <c r="D566" s="175"/>
      <c r="E566" s="175"/>
      <c r="F566" s="122"/>
      <c r="G566" s="122"/>
      <c r="H566" s="122"/>
      <c r="I566" s="122"/>
      <c r="J566" s="173"/>
      <c r="K566" s="181"/>
      <c r="L566" s="181"/>
      <c r="M566" s="181"/>
      <c r="N566" s="181"/>
      <c r="O566" s="181"/>
      <c r="P566" s="181"/>
      <c r="Q566" s="181"/>
      <c r="R566" s="181"/>
      <c r="S566" s="181"/>
      <c r="T566" s="181"/>
      <c r="U566" s="181"/>
      <c r="V566" s="181"/>
      <c r="W566" s="181"/>
      <c r="X566" s="181"/>
      <c r="Y566" s="181"/>
    </row>
    <row r="567" spans="1:25" ht="15.75" hidden="1" customHeight="1" x14ac:dyDescent="0.2">
      <c r="A567" s="181"/>
      <c r="B567" s="174"/>
      <c r="C567" s="175"/>
      <c r="D567" s="175"/>
      <c r="E567" s="175"/>
      <c r="F567" s="122"/>
      <c r="G567" s="122"/>
      <c r="H567" s="122"/>
      <c r="I567" s="122"/>
      <c r="J567" s="173"/>
      <c r="K567" s="181"/>
      <c r="L567" s="181"/>
      <c r="M567" s="181"/>
      <c r="N567" s="181"/>
      <c r="O567" s="181"/>
      <c r="P567" s="181"/>
      <c r="Q567" s="181"/>
      <c r="R567" s="181"/>
      <c r="S567" s="181"/>
      <c r="T567" s="181"/>
      <c r="U567" s="181"/>
      <c r="V567" s="181"/>
      <c r="W567" s="181"/>
      <c r="X567" s="181"/>
      <c r="Y567" s="181"/>
    </row>
    <row r="568" spans="1:25" ht="15.75" hidden="1" customHeight="1" x14ac:dyDescent="0.2">
      <c r="A568" s="181"/>
      <c r="B568" s="174"/>
      <c r="C568" s="175"/>
      <c r="D568" s="175"/>
      <c r="E568" s="175"/>
      <c r="F568" s="122"/>
      <c r="G568" s="122"/>
      <c r="H568" s="122"/>
      <c r="I568" s="122"/>
      <c r="J568" s="173"/>
      <c r="K568" s="181"/>
      <c r="L568" s="181"/>
      <c r="M568" s="181"/>
      <c r="N568" s="181"/>
      <c r="O568" s="181"/>
      <c r="P568" s="181"/>
      <c r="Q568" s="181"/>
      <c r="R568" s="181"/>
      <c r="S568" s="181"/>
      <c r="T568" s="181"/>
      <c r="U568" s="181"/>
      <c r="V568" s="181"/>
      <c r="W568" s="181"/>
      <c r="X568" s="181"/>
      <c r="Y568" s="181"/>
    </row>
    <row r="569" spans="1:25" ht="15.75" hidden="1" customHeight="1" x14ac:dyDescent="0.2">
      <c r="A569" s="181"/>
      <c r="B569" s="174"/>
      <c r="C569" s="175"/>
      <c r="D569" s="175"/>
      <c r="E569" s="175"/>
      <c r="F569" s="122"/>
      <c r="G569" s="122"/>
      <c r="H569" s="122"/>
      <c r="I569" s="122"/>
      <c r="J569" s="173"/>
      <c r="K569" s="181"/>
      <c r="L569" s="181"/>
      <c r="M569" s="181"/>
      <c r="N569" s="181"/>
      <c r="O569" s="181"/>
      <c r="P569" s="181"/>
      <c r="Q569" s="181"/>
      <c r="R569" s="181"/>
      <c r="S569" s="181"/>
      <c r="T569" s="181"/>
      <c r="U569" s="181"/>
      <c r="V569" s="181"/>
      <c r="W569" s="181"/>
      <c r="X569" s="181"/>
      <c r="Y569" s="181"/>
    </row>
    <row r="570" spans="1:25" ht="15.75" hidden="1" customHeight="1" x14ac:dyDescent="0.2">
      <c r="A570" s="181"/>
      <c r="B570" s="174"/>
      <c r="C570" s="175"/>
      <c r="D570" s="175"/>
      <c r="E570" s="175"/>
      <c r="F570" s="122"/>
      <c r="G570" s="122"/>
      <c r="H570" s="122"/>
      <c r="I570" s="122"/>
      <c r="J570" s="173"/>
      <c r="K570" s="181"/>
      <c r="L570" s="181"/>
      <c r="M570" s="181"/>
      <c r="N570" s="181"/>
      <c r="O570" s="181"/>
      <c r="P570" s="181"/>
      <c r="Q570" s="181"/>
      <c r="R570" s="181"/>
      <c r="S570" s="181"/>
      <c r="T570" s="181"/>
      <c r="U570" s="181"/>
      <c r="V570" s="181"/>
      <c r="W570" s="181"/>
      <c r="X570" s="181"/>
      <c r="Y570" s="181"/>
    </row>
    <row r="571" spans="1:25" ht="15.75" hidden="1" customHeight="1" x14ac:dyDescent="0.2">
      <c r="A571" s="181"/>
      <c r="B571" s="174"/>
      <c r="C571" s="175"/>
      <c r="D571" s="175"/>
      <c r="E571" s="175"/>
      <c r="F571" s="122"/>
      <c r="G571" s="122"/>
      <c r="H571" s="122"/>
      <c r="I571" s="122"/>
      <c r="J571" s="173"/>
      <c r="K571" s="181"/>
      <c r="L571" s="181"/>
      <c r="M571" s="181"/>
      <c r="N571" s="181"/>
      <c r="O571" s="181"/>
      <c r="P571" s="181"/>
      <c r="Q571" s="181"/>
      <c r="R571" s="181"/>
      <c r="S571" s="181"/>
      <c r="T571" s="181"/>
      <c r="U571" s="181"/>
      <c r="V571" s="181"/>
      <c r="W571" s="181"/>
      <c r="X571" s="181"/>
      <c r="Y571" s="181"/>
    </row>
    <row r="572" spans="1:25" ht="15.75" hidden="1" customHeight="1" x14ac:dyDescent="0.2">
      <c r="A572" s="181"/>
      <c r="B572" s="174"/>
      <c r="C572" s="175"/>
      <c r="D572" s="175"/>
      <c r="E572" s="175"/>
      <c r="F572" s="122"/>
      <c r="G572" s="122"/>
      <c r="H572" s="122"/>
      <c r="I572" s="122"/>
      <c r="J572" s="173"/>
      <c r="K572" s="181"/>
      <c r="L572" s="181"/>
      <c r="M572" s="181"/>
      <c r="N572" s="181"/>
      <c r="O572" s="181"/>
      <c r="P572" s="181"/>
      <c r="Q572" s="181"/>
      <c r="R572" s="181"/>
      <c r="S572" s="181"/>
      <c r="T572" s="181"/>
      <c r="U572" s="181"/>
      <c r="V572" s="181"/>
      <c r="W572" s="181"/>
      <c r="X572" s="181"/>
      <c r="Y572" s="181"/>
    </row>
    <row r="573" spans="1:25" ht="15.75" hidden="1" customHeight="1" x14ac:dyDescent="0.2">
      <c r="A573" s="181"/>
      <c r="B573" s="174"/>
      <c r="C573" s="175"/>
      <c r="D573" s="175"/>
      <c r="E573" s="175"/>
      <c r="F573" s="122"/>
      <c r="G573" s="122"/>
      <c r="H573" s="122"/>
      <c r="I573" s="122"/>
      <c r="J573" s="173"/>
      <c r="K573" s="181"/>
      <c r="L573" s="181"/>
      <c r="M573" s="181"/>
      <c r="N573" s="181"/>
      <c r="O573" s="181"/>
      <c r="P573" s="181"/>
      <c r="Q573" s="181"/>
      <c r="R573" s="181"/>
      <c r="S573" s="181"/>
      <c r="T573" s="181"/>
      <c r="U573" s="181"/>
      <c r="V573" s="181"/>
      <c r="W573" s="181"/>
      <c r="X573" s="181"/>
      <c r="Y573" s="181"/>
    </row>
    <row r="574" spans="1:25" ht="15.75" hidden="1" customHeight="1" x14ac:dyDescent="0.2">
      <c r="A574" s="181"/>
      <c r="B574" s="174"/>
      <c r="C574" s="175"/>
      <c r="D574" s="175"/>
      <c r="E574" s="175"/>
      <c r="F574" s="122"/>
      <c r="G574" s="122"/>
      <c r="H574" s="122"/>
      <c r="I574" s="122"/>
      <c r="J574" s="173"/>
      <c r="K574" s="181"/>
      <c r="L574" s="181"/>
      <c r="M574" s="181"/>
      <c r="N574" s="181"/>
      <c r="O574" s="181"/>
      <c r="P574" s="181"/>
      <c r="Q574" s="181"/>
      <c r="R574" s="181"/>
      <c r="S574" s="181"/>
      <c r="T574" s="181"/>
      <c r="U574" s="181"/>
      <c r="V574" s="181"/>
      <c r="W574" s="181"/>
      <c r="X574" s="181"/>
      <c r="Y574" s="181"/>
    </row>
    <row r="575" spans="1:25" ht="15.75" hidden="1" customHeight="1" x14ac:dyDescent="0.2">
      <c r="A575" s="181"/>
      <c r="B575" s="174"/>
      <c r="C575" s="175"/>
      <c r="D575" s="175"/>
      <c r="E575" s="175"/>
      <c r="F575" s="122"/>
      <c r="G575" s="122"/>
      <c r="H575" s="122"/>
      <c r="I575" s="122"/>
      <c r="J575" s="173"/>
      <c r="K575" s="181"/>
      <c r="L575" s="181"/>
      <c r="M575" s="181"/>
      <c r="N575" s="181"/>
      <c r="O575" s="181"/>
      <c r="P575" s="181"/>
      <c r="Q575" s="181"/>
      <c r="R575" s="181"/>
      <c r="S575" s="181"/>
      <c r="T575" s="181"/>
      <c r="U575" s="181"/>
      <c r="V575" s="181"/>
      <c r="W575" s="181"/>
      <c r="X575" s="181"/>
      <c r="Y575" s="181"/>
    </row>
    <row r="576" spans="1:25" ht="15.75" hidden="1" customHeight="1" x14ac:dyDescent="0.2">
      <c r="A576" s="181"/>
      <c r="B576" s="174"/>
      <c r="C576" s="175"/>
      <c r="D576" s="175"/>
      <c r="E576" s="175"/>
      <c r="F576" s="122"/>
      <c r="G576" s="122"/>
      <c r="H576" s="122"/>
      <c r="I576" s="122"/>
      <c r="J576" s="173"/>
      <c r="K576" s="181"/>
      <c r="L576" s="181"/>
      <c r="M576" s="181"/>
      <c r="N576" s="181"/>
      <c r="O576" s="181"/>
      <c r="P576" s="181"/>
      <c r="Q576" s="181"/>
      <c r="R576" s="181"/>
      <c r="S576" s="181"/>
      <c r="T576" s="181"/>
      <c r="U576" s="181"/>
      <c r="V576" s="181"/>
      <c r="W576" s="181"/>
      <c r="X576" s="181"/>
      <c r="Y576" s="181"/>
    </row>
    <row r="577" spans="1:25" ht="15.75" hidden="1" customHeight="1" x14ac:dyDescent="0.2">
      <c r="A577" s="181"/>
      <c r="B577" s="174"/>
      <c r="C577" s="175"/>
      <c r="D577" s="175"/>
      <c r="E577" s="175"/>
      <c r="F577" s="122"/>
      <c r="G577" s="122"/>
      <c r="H577" s="122"/>
      <c r="I577" s="122"/>
      <c r="J577" s="173"/>
      <c r="K577" s="181"/>
      <c r="L577" s="181"/>
      <c r="M577" s="181"/>
      <c r="N577" s="181"/>
      <c r="O577" s="181"/>
      <c r="P577" s="181"/>
      <c r="Q577" s="181"/>
      <c r="R577" s="181"/>
      <c r="S577" s="181"/>
      <c r="T577" s="181"/>
      <c r="U577" s="181"/>
      <c r="V577" s="181"/>
      <c r="W577" s="181"/>
      <c r="X577" s="181"/>
      <c r="Y577" s="181"/>
    </row>
    <row r="578" spans="1:25" ht="15.75" hidden="1" customHeight="1" x14ac:dyDescent="0.2">
      <c r="A578" s="181"/>
      <c r="B578" s="174"/>
      <c r="C578" s="175"/>
      <c r="D578" s="175"/>
      <c r="E578" s="175"/>
      <c r="F578" s="122"/>
      <c r="G578" s="122"/>
      <c r="H578" s="122"/>
      <c r="I578" s="122"/>
      <c r="J578" s="173"/>
      <c r="K578" s="181"/>
      <c r="L578" s="181"/>
      <c r="M578" s="181"/>
      <c r="N578" s="181"/>
      <c r="O578" s="181"/>
      <c r="P578" s="181"/>
      <c r="Q578" s="181"/>
      <c r="R578" s="181"/>
      <c r="S578" s="181"/>
      <c r="T578" s="181"/>
      <c r="U578" s="181"/>
      <c r="V578" s="181"/>
      <c r="W578" s="181"/>
      <c r="X578" s="181"/>
      <c r="Y578" s="181"/>
    </row>
    <row r="579" spans="1:25" ht="15.75" hidden="1" customHeight="1" x14ac:dyDescent="0.2">
      <c r="A579" s="181"/>
      <c r="B579" s="174"/>
      <c r="C579" s="175"/>
      <c r="D579" s="175"/>
      <c r="E579" s="175"/>
      <c r="F579" s="122"/>
      <c r="G579" s="122"/>
      <c r="H579" s="122"/>
      <c r="I579" s="122"/>
      <c r="J579" s="173"/>
      <c r="K579" s="181"/>
      <c r="L579" s="181"/>
      <c r="M579" s="181"/>
      <c r="N579" s="181"/>
      <c r="O579" s="181"/>
      <c r="P579" s="181"/>
      <c r="Q579" s="181"/>
      <c r="R579" s="181"/>
      <c r="S579" s="181"/>
      <c r="T579" s="181"/>
      <c r="U579" s="181"/>
      <c r="V579" s="181"/>
      <c r="W579" s="181"/>
      <c r="X579" s="181"/>
      <c r="Y579" s="181"/>
    </row>
    <row r="580" spans="1:25" ht="15.75" hidden="1" customHeight="1" x14ac:dyDescent="0.2">
      <c r="A580" s="181"/>
      <c r="B580" s="174"/>
      <c r="C580" s="175"/>
      <c r="D580" s="175"/>
      <c r="E580" s="175"/>
      <c r="F580" s="122"/>
      <c r="G580" s="122"/>
      <c r="H580" s="122"/>
      <c r="I580" s="122"/>
      <c r="J580" s="173"/>
      <c r="K580" s="181"/>
      <c r="L580" s="181"/>
      <c r="M580" s="181"/>
      <c r="N580" s="181"/>
      <c r="O580" s="181"/>
      <c r="P580" s="181"/>
      <c r="Q580" s="181"/>
      <c r="R580" s="181"/>
      <c r="S580" s="181"/>
      <c r="T580" s="181"/>
      <c r="U580" s="181"/>
      <c r="V580" s="181"/>
      <c r="W580" s="181"/>
      <c r="X580" s="181"/>
      <c r="Y580" s="181"/>
    </row>
    <row r="581" spans="1:25" ht="15.75" hidden="1" customHeight="1" x14ac:dyDescent="0.2">
      <c r="A581" s="181"/>
      <c r="B581" s="174"/>
      <c r="C581" s="175"/>
      <c r="D581" s="175"/>
      <c r="E581" s="175"/>
      <c r="F581" s="122"/>
      <c r="G581" s="122"/>
      <c r="H581" s="122"/>
      <c r="I581" s="122"/>
      <c r="J581" s="173"/>
      <c r="K581" s="181"/>
      <c r="L581" s="181"/>
      <c r="M581" s="181"/>
      <c r="N581" s="181"/>
      <c r="O581" s="181"/>
      <c r="P581" s="181"/>
      <c r="Q581" s="181"/>
      <c r="R581" s="181"/>
      <c r="S581" s="181"/>
      <c r="T581" s="181"/>
      <c r="U581" s="181"/>
      <c r="V581" s="181"/>
      <c r="W581" s="181"/>
      <c r="X581" s="181"/>
      <c r="Y581" s="181"/>
    </row>
    <row r="582" spans="1:25" ht="15.75" hidden="1" customHeight="1" x14ac:dyDescent="0.2">
      <c r="A582" s="181"/>
      <c r="B582" s="174"/>
      <c r="C582" s="175"/>
      <c r="D582" s="175"/>
      <c r="E582" s="175"/>
      <c r="F582" s="122"/>
      <c r="G582" s="122"/>
      <c r="H582" s="122"/>
      <c r="I582" s="122"/>
      <c r="J582" s="173"/>
      <c r="K582" s="181"/>
      <c r="L582" s="181"/>
      <c r="M582" s="181"/>
      <c r="N582" s="181"/>
      <c r="O582" s="181"/>
      <c r="P582" s="181"/>
      <c r="Q582" s="181"/>
      <c r="R582" s="181"/>
      <c r="S582" s="181"/>
      <c r="T582" s="181"/>
      <c r="U582" s="181"/>
      <c r="V582" s="181"/>
      <c r="W582" s="181"/>
      <c r="X582" s="181"/>
      <c r="Y582" s="181"/>
    </row>
    <row r="583" spans="1:25" ht="15.75" hidden="1" customHeight="1" x14ac:dyDescent="0.2">
      <c r="A583" s="181"/>
      <c r="B583" s="174"/>
      <c r="C583" s="175"/>
      <c r="D583" s="175"/>
      <c r="E583" s="175"/>
      <c r="F583" s="122"/>
      <c r="G583" s="122"/>
      <c r="H583" s="122"/>
      <c r="I583" s="122"/>
      <c r="J583" s="173"/>
      <c r="K583" s="181"/>
      <c r="L583" s="181"/>
      <c r="M583" s="181"/>
      <c r="N583" s="181"/>
      <c r="O583" s="181"/>
      <c r="P583" s="181"/>
      <c r="Q583" s="181"/>
      <c r="R583" s="181"/>
      <c r="S583" s="181"/>
      <c r="T583" s="181"/>
      <c r="U583" s="181"/>
      <c r="V583" s="181"/>
      <c r="W583" s="181"/>
      <c r="X583" s="181"/>
      <c r="Y583" s="181"/>
    </row>
    <row r="584" spans="1:25" ht="15.75" hidden="1" customHeight="1" x14ac:dyDescent="0.2">
      <c r="A584" s="181"/>
      <c r="B584" s="174"/>
      <c r="C584" s="175"/>
      <c r="D584" s="175"/>
      <c r="E584" s="175"/>
      <c r="F584" s="122"/>
      <c r="G584" s="122"/>
      <c r="H584" s="122"/>
      <c r="I584" s="122"/>
      <c r="J584" s="173"/>
      <c r="K584" s="181"/>
      <c r="L584" s="181"/>
      <c r="M584" s="181"/>
      <c r="N584" s="181"/>
      <c r="O584" s="181"/>
      <c r="P584" s="181"/>
      <c r="Q584" s="181"/>
      <c r="R584" s="181"/>
      <c r="S584" s="181"/>
      <c r="T584" s="181"/>
      <c r="U584" s="181"/>
      <c r="V584" s="181"/>
      <c r="W584" s="181"/>
      <c r="X584" s="181"/>
      <c r="Y584" s="181"/>
    </row>
    <row r="585" spans="1:25" ht="15.75" hidden="1" customHeight="1" x14ac:dyDescent="0.2">
      <c r="A585" s="181"/>
      <c r="B585" s="174"/>
      <c r="C585" s="175"/>
      <c r="D585" s="175"/>
      <c r="E585" s="175"/>
      <c r="F585" s="122"/>
      <c r="G585" s="122"/>
      <c r="H585" s="122"/>
      <c r="I585" s="122"/>
      <c r="J585" s="173"/>
      <c r="K585" s="181"/>
      <c r="L585" s="181"/>
      <c r="M585" s="181"/>
      <c r="N585" s="181"/>
      <c r="O585" s="181"/>
      <c r="P585" s="181"/>
      <c r="Q585" s="181"/>
      <c r="R585" s="181"/>
      <c r="S585" s="181"/>
      <c r="T585" s="181"/>
      <c r="U585" s="181"/>
      <c r="V585" s="181"/>
      <c r="W585" s="181"/>
      <c r="X585" s="181"/>
      <c r="Y585" s="181"/>
    </row>
    <row r="586" spans="1:25" ht="15.75" hidden="1" customHeight="1" x14ac:dyDescent="0.2">
      <c r="A586" s="181"/>
      <c r="B586" s="174"/>
      <c r="C586" s="175"/>
      <c r="D586" s="175"/>
      <c r="E586" s="175"/>
      <c r="F586" s="122"/>
      <c r="G586" s="122"/>
      <c r="H586" s="122"/>
      <c r="I586" s="122"/>
      <c r="J586" s="173"/>
      <c r="K586" s="181"/>
      <c r="L586" s="181"/>
      <c r="M586" s="181"/>
      <c r="N586" s="181"/>
      <c r="O586" s="181"/>
      <c r="P586" s="181"/>
      <c r="Q586" s="181"/>
      <c r="R586" s="181"/>
      <c r="S586" s="181"/>
      <c r="T586" s="181"/>
      <c r="U586" s="181"/>
      <c r="V586" s="181"/>
      <c r="W586" s="181"/>
      <c r="X586" s="181"/>
      <c r="Y586" s="181"/>
    </row>
    <row r="587" spans="1:25" ht="15.75" hidden="1" customHeight="1" x14ac:dyDescent="0.2">
      <c r="A587" s="181"/>
      <c r="B587" s="174"/>
      <c r="C587" s="175"/>
      <c r="D587" s="175"/>
      <c r="E587" s="175"/>
      <c r="F587" s="122"/>
      <c r="G587" s="122"/>
      <c r="H587" s="122"/>
      <c r="I587" s="122"/>
      <c r="J587" s="173"/>
      <c r="K587" s="181"/>
      <c r="L587" s="181"/>
      <c r="M587" s="181"/>
      <c r="N587" s="181"/>
      <c r="O587" s="181"/>
      <c r="P587" s="181"/>
      <c r="Q587" s="181"/>
      <c r="R587" s="181"/>
      <c r="S587" s="181"/>
      <c r="T587" s="181"/>
      <c r="U587" s="181"/>
      <c r="V587" s="181"/>
      <c r="W587" s="181"/>
      <c r="X587" s="181"/>
      <c r="Y587" s="181"/>
    </row>
    <row r="588" spans="1:25" ht="15.75" hidden="1" customHeight="1" x14ac:dyDescent="0.2">
      <c r="A588" s="181"/>
      <c r="B588" s="174"/>
      <c r="C588" s="175"/>
      <c r="D588" s="175"/>
      <c r="E588" s="175"/>
      <c r="F588" s="122"/>
      <c r="G588" s="122"/>
      <c r="H588" s="122"/>
      <c r="I588" s="122"/>
      <c r="J588" s="173"/>
      <c r="K588" s="181"/>
      <c r="L588" s="181"/>
      <c r="M588" s="181"/>
      <c r="N588" s="181"/>
      <c r="O588" s="181"/>
      <c r="P588" s="181"/>
      <c r="Q588" s="181"/>
      <c r="R588" s="181"/>
      <c r="S588" s="181"/>
      <c r="T588" s="181"/>
      <c r="U588" s="181"/>
      <c r="V588" s="181"/>
      <c r="W588" s="181"/>
      <c r="X588" s="181"/>
      <c r="Y588" s="181"/>
    </row>
    <row r="589" spans="1:25" ht="15.75" hidden="1" customHeight="1" x14ac:dyDescent="0.2">
      <c r="A589" s="181"/>
      <c r="B589" s="174"/>
      <c r="C589" s="175"/>
      <c r="D589" s="175"/>
      <c r="E589" s="175"/>
      <c r="F589" s="122"/>
      <c r="G589" s="122"/>
      <c r="H589" s="122"/>
      <c r="I589" s="122"/>
      <c r="J589" s="173"/>
      <c r="K589" s="181"/>
      <c r="L589" s="181"/>
      <c r="M589" s="181"/>
      <c r="N589" s="181"/>
      <c r="O589" s="181"/>
      <c r="P589" s="181"/>
      <c r="Q589" s="181"/>
      <c r="R589" s="181"/>
      <c r="S589" s="181"/>
      <c r="T589" s="181"/>
      <c r="U589" s="181"/>
      <c r="V589" s="181"/>
      <c r="W589" s="181"/>
      <c r="X589" s="181"/>
      <c r="Y589" s="181"/>
    </row>
    <row r="590" spans="1:25" ht="15.75" hidden="1" customHeight="1" x14ac:dyDescent="0.2">
      <c r="A590" s="181"/>
      <c r="B590" s="174"/>
      <c r="C590" s="175"/>
      <c r="D590" s="175"/>
      <c r="E590" s="175"/>
      <c r="F590" s="122"/>
      <c r="G590" s="122"/>
      <c r="H590" s="122"/>
      <c r="I590" s="122"/>
      <c r="J590" s="173"/>
      <c r="K590" s="181"/>
      <c r="L590" s="181"/>
      <c r="M590" s="181"/>
      <c r="N590" s="181"/>
      <c r="O590" s="181"/>
      <c r="P590" s="181"/>
      <c r="Q590" s="181"/>
      <c r="R590" s="181"/>
      <c r="S590" s="181"/>
      <c r="T590" s="181"/>
      <c r="U590" s="181"/>
      <c r="V590" s="181"/>
      <c r="W590" s="181"/>
      <c r="X590" s="181"/>
      <c r="Y590" s="181"/>
    </row>
    <row r="591" spans="1:25" ht="15.75" hidden="1" customHeight="1" x14ac:dyDescent="0.2">
      <c r="A591" s="181"/>
      <c r="B591" s="174"/>
      <c r="C591" s="175"/>
      <c r="D591" s="175"/>
      <c r="E591" s="175"/>
      <c r="F591" s="122"/>
      <c r="G591" s="122"/>
      <c r="H591" s="122"/>
      <c r="I591" s="122"/>
      <c r="J591" s="173"/>
      <c r="K591" s="181"/>
      <c r="L591" s="181"/>
      <c r="M591" s="181"/>
      <c r="N591" s="181"/>
      <c r="O591" s="181"/>
      <c r="P591" s="181"/>
      <c r="Q591" s="181"/>
      <c r="R591" s="181"/>
      <c r="S591" s="181"/>
      <c r="T591" s="181"/>
      <c r="U591" s="181"/>
      <c r="V591" s="181"/>
      <c r="W591" s="181"/>
      <c r="X591" s="181"/>
      <c r="Y591" s="181"/>
    </row>
    <row r="592" spans="1:25" ht="15.75" hidden="1" customHeight="1" x14ac:dyDescent="0.2">
      <c r="A592" s="181"/>
      <c r="B592" s="174"/>
      <c r="C592" s="175"/>
      <c r="D592" s="175"/>
      <c r="E592" s="175"/>
      <c r="F592" s="122"/>
      <c r="G592" s="122"/>
      <c r="H592" s="122"/>
      <c r="I592" s="122"/>
      <c r="J592" s="173"/>
      <c r="K592" s="181"/>
      <c r="L592" s="181"/>
      <c r="M592" s="181"/>
      <c r="N592" s="181"/>
      <c r="O592" s="181"/>
      <c r="P592" s="181"/>
      <c r="Q592" s="181"/>
      <c r="R592" s="181"/>
      <c r="S592" s="181"/>
      <c r="T592" s="181"/>
      <c r="U592" s="181"/>
      <c r="V592" s="181"/>
      <c r="W592" s="181"/>
      <c r="X592" s="181"/>
      <c r="Y592" s="181"/>
    </row>
    <row r="593" spans="1:25" ht="15.75" hidden="1" customHeight="1" x14ac:dyDescent="0.2">
      <c r="A593" s="181"/>
      <c r="B593" s="174"/>
      <c r="C593" s="175"/>
      <c r="D593" s="175"/>
      <c r="E593" s="175"/>
      <c r="F593" s="122"/>
      <c r="G593" s="122"/>
      <c r="H593" s="122"/>
      <c r="I593" s="122"/>
      <c r="J593" s="173"/>
      <c r="K593" s="181"/>
      <c r="L593" s="181"/>
      <c r="M593" s="181"/>
      <c r="N593" s="181"/>
      <c r="O593" s="181"/>
      <c r="P593" s="181"/>
      <c r="Q593" s="181"/>
      <c r="R593" s="181"/>
      <c r="S593" s="181"/>
      <c r="T593" s="181"/>
      <c r="U593" s="181"/>
      <c r="V593" s="181"/>
      <c r="W593" s="181"/>
      <c r="X593" s="181"/>
      <c r="Y593" s="181"/>
    </row>
    <row r="594" spans="1:25" ht="15.75" hidden="1" customHeight="1" x14ac:dyDescent="0.2">
      <c r="A594" s="181"/>
      <c r="B594" s="174"/>
      <c r="C594" s="175"/>
      <c r="D594" s="175"/>
      <c r="E594" s="175"/>
      <c r="F594" s="122"/>
      <c r="G594" s="122"/>
      <c r="H594" s="122"/>
      <c r="I594" s="122"/>
      <c r="J594" s="173"/>
      <c r="K594" s="181"/>
      <c r="L594" s="181"/>
      <c r="M594" s="181"/>
      <c r="N594" s="181"/>
      <c r="O594" s="181"/>
      <c r="P594" s="181"/>
      <c r="Q594" s="181"/>
      <c r="R594" s="181"/>
      <c r="S594" s="181"/>
      <c r="T594" s="181"/>
      <c r="U594" s="181"/>
      <c r="V594" s="181"/>
      <c r="W594" s="181"/>
      <c r="X594" s="181"/>
      <c r="Y594" s="181"/>
    </row>
    <row r="595" spans="1:25" ht="15.75" hidden="1" customHeight="1" x14ac:dyDescent="0.2">
      <c r="A595" s="181"/>
      <c r="B595" s="174"/>
      <c r="C595" s="175"/>
      <c r="D595" s="175"/>
      <c r="E595" s="175"/>
      <c r="F595" s="122"/>
      <c r="G595" s="122"/>
      <c r="H595" s="122"/>
      <c r="I595" s="122"/>
      <c r="J595" s="173"/>
      <c r="K595" s="181"/>
      <c r="L595" s="181"/>
      <c r="M595" s="181"/>
      <c r="N595" s="181"/>
      <c r="O595" s="181"/>
      <c r="P595" s="181"/>
      <c r="Q595" s="181"/>
      <c r="R595" s="181"/>
      <c r="S595" s="181"/>
      <c r="T595" s="181"/>
      <c r="U595" s="181"/>
      <c r="V595" s="181"/>
      <c r="W595" s="181"/>
      <c r="X595" s="181"/>
      <c r="Y595" s="181"/>
    </row>
    <row r="596" spans="1:25" ht="15.75" hidden="1" customHeight="1" x14ac:dyDescent="0.2">
      <c r="A596" s="181"/>
      <c r="B596" s="174"/>
      <c r="C596" s="175"/>
      <c r="D596" s="175"/>
      <c r="E596" s="175"/>
      <c r="F596" s="122"/>
      <c r="G596" s="122"/>
      <c r="H596" s="122"/>
      <c r="I596" s="122"/>
      <c r="J596" s="173"/>
      <c r="K596" s="181"/>
      <c r="L596" s="181"/>
      <c r="M596" s="181"/>
      <c r="N596" s="181"/>
      <c r="O596" s="181"/>
      <c r="P596" s="181"/>
      <c r="Q596" s="181"/>
      <c r="R596" s="181"/>
      <c r="S596" s="181"/>
      <c r="T596" s="181"/>
      <c r="U596" s="181"/>
      <c r="V596" s="181"/>
      <c r="W596" s="181"/>
      <c r="X596" s="181"/>
      <c r="Y596" s="181"/>
    </row>
    <row r="597" spans="1:25" ht="15.75" hidden="1" customHeight="1" x14ac:dyDescent="0.2">
      <c r="A597" s="181"/>
      <c r="B597" s="174"/>
      <c r="C597" s="175"/>
      <c r="D597" s="175"/>
      <c r="E597" s="175"/>
      <c r="F597" s="122"/>
      <c r="G597" s="122"/>
      <c r="H597" s="122"/>
      <c r="I597" s="122"/>
      <c r="J597" s="173"/>
      <c r="K597" s="181"/>
      <c r="L597" s="181"/>
      <c r="M597" s="181"/>
      <c r="N597" s="181"/>
      <c r="O597" s="181"/>
      <c r="P597" s="181"/>
      <c r="Q597" s="181"/>
      <c r="R597" s="181"/>
      <c r="S597" s="181"/>
      <c r="T597" s="181"/>
      <c r="U597" s="181"/>
      <c r="V597" s="181"/>
      <c r="W597" s="181"/>
      <c r="X597" s="181"/>
      <c r="Y597" s="181"/>
    </row>
    <row r="598" spans="1:25" ht="15.75" hidden="1" customHeight="1" x14ac:dyDescent="0.2">
      <c r="A598" s="181"/>
      <c r="B598" s="174"/>
      <c r="C598" s="175"/>
      <c r="D598" s="175"/>
      <c r="E598" s="175"/>
      <c r="F598" s="122"/>
      <c r="G598" s="122"/>
      <c r="H598" s="122"/>
      <c r="I598" s="122"/>
      <c r="J598" s="173"/>
      <c r="K598" s="181"/>
      <c r="L598" s="181"/>
      <c r="M598" s="181"/>
      <c r="N598" s="181"/>
      <c r="O598" s="181"/>
      <c r="P598" s="181"/>
      <c r="Q598" s="181"/>
      <c r="R598" s="181"/>
      <c r="S598" s="181"/>
      <c r="T598" s="181"/>
      <c r="U598" s="181"/>
      <c r="V598" s="181"/>
      <c r="W598" s="181"/>
      <c r="X598" s="181"/>
      <c r="Y598" s="181"/>
    </row>
    <row r="599" spans="1:25" ht="15.75" hidden="1" customHeight="1" x14ac:dyDescent="0.2">
      <c r="A599" s="181"/>
      <c r="B599" s="174"/>
      <c r="C599" s="175"/>
      <c r="D599" s="175"/>
      <c r="E599" s="175"/>
      <c r="F599" s="122"/>
      <c r="G599" s="122"/>
      <c r="H599" s="122"/>
      <c r="I599" s="122"/>
      <c r="J599" s="173"/>
      <c r="K599" s="181"/>
      <c r="L599" s="181"/>
      <c r="M599" s="181"/>
      <c r="N599" s="181"/>
      <c r="O599" s="181"/>
      <c r="P599" s="181"/>
      <c r="Q599" s="181"/>
      <c r="R599" s="181"/>
      <c r="S599" s="181"/>
      <c r="T599" s="181"/>
      <c r="U599" s="181"/>
      <c r="V599" s="181"/>
      <c r="W599" s="181"/>
      <c r="X599" s="181"/>
      <c r="Y599" s="181"/>
    </row>
    <row r="600" spans="1:25" ht="15.75" hidden="1" customHeight="1" x14ac:dyDescent="0.2">
      <c r="A600" s="181"/>
      <c r="B600" s="174"/>
      <c r="C600" s="175"/>
      <c r="D600" s="175"/>
      <c r="E600" s="175"/>
      <c r="F600" s="122"/>
      <c r="G600" s="122"/>
      <c r="H600" s="122"/>
      <c r="I600" s="122"/>
      <c r="J600" s="173"/>
      <c r="K600" s="181"/>
      <c r="L600" s="181"/>
      <c r="M600" s="181"/>
      <c r="N600" s="181"/>
      <c r="O600" s="181"/>
      <c r="P600" s="181"/>
      <c r="Q600" s="181"/>
      <c r="R600" s="181"/>
      <c r="S600" s="181"/>
      <c r="T600" s="181"/>
      <c r="U600" s="181"/>
      <c r="V600" s="181"/>
      <c r="W600" s="181"/>
      <c r="X600" s="181"/>
      <c r="Y600" s="181"/>
    </row>
    <row r="601" spans="1:25" ht="15.75" hidden="1" customHeight="1" x14ac:dyDescent="0.2">
      <c r="A601" s="181"/>
      <c r="B601" s="174"/>
      <c r="C601" s="175"/>
      <c r="D601" s="175"/>
      <c r="E601" s="175"/>
      <c r="F601" s="122"/>
      <c r="G601" s="122"/>
      <c r="H601" s="122"/>
      <c r="I601" s="122"/>
      <c r="J601" s="173"/>
      <c r="K601" s="181"/>
      <c r="L601" s="181"/>
      <c r="M601" s="181"/>
      <c r="N601" s="181"/>
      <c r="O601" s="181"/>
      <c r="P601" s="181"/>
      <c r="Q601" s="181"/>
      <c r="R601" s="181"/>
      <c r="S601" s="181"/>
      <c r="T601" s="181"/>
      <c r="U601" s="181"/>
      <c r="V601" s="181"/>
      <c r="W601" s="181"/>
      <c r="X601" s="181"/>
      <c r="Y601" s="181"/>
    </row>
    <row r="602" spans="1:25" ht="15.75" hidden="1" customHeight="1" x14ac:dyDescent="0.2">
      <c r="A602" s="181"/>
      <c r="B602" s="174"/>
      <c r="C602" s="175"/>
      <c r="D602" s="175"/>
      <c r="E602" s="175"/>
      <c r="F602" s="122"/>
      <c r="G602" s="122"/>
      <c r="H602" s="122"/>
      <c r="I602" s="122"/>
      <c r="J602" s="173"/>
      <c r="K602" s="181"/>
      <c r="L602" s="181"/>
      <c r="M602" s="181"/>
      <c r="N602" s="181"/>
      <c r="O602" s="181"/>
      <c r="P602" s="181"/>
      <c r="Q602" s="181"/>
      <c r="R602" s="181"/>
      <c r="S602" s="181"/>
      <c r="T602" s="181"/>
      <c r="U602" s="181"/>
      <c r="V602" s="181"/>
      <c r="W602" s="181"/>
      <c r="X602" s="181"/>
      <c r="Y602" s="181"/>
    </row>
    <row r="603" spans="1:25" ht="15.75" hidden="1" customHeight="1" x14ac:dyDescent="0.2">
      <c r="A603" s="181"/>
      <c r="B603" s="174"/>
      <c r="C603" s="175"/>
      <c r="D603" s="175"/>
      <c r="E603" s="175"/>
      <c r="F603" s="122"/>
      <c r="G603" s="122"/>
      <c r="H603" s="122"/>
      <c r="I603" s="122"/>
      <c r="J603" s="173"/>
      <c r="K603" s="181"/>
      <c r="L603" s="181"/>
      <c r="M603" s="181"/>
      <c r="N603" s="181"/>
      <c r="O603" s="181"/>
      <c r="P603" s="181"/>
      <c r="Q603" s="181"/>
      <c r="R603" s="181"/>
      <c r="S603" s="181"/>
      <c r="T603" s="181"/>
      <c r="U603" s="181"/>
      <c r="V603" s="181"/>
      <c r="W603" s="181"/>
      <c r="X603" s="181"/>
      <c r="Y603" s="181"/>
    </row>
    <row r="604" spans="1:25" ht="15.75" hidden="1" customHeight="1" x14ac:dyDescent="0.2">
      <c r="A604" s="181"/>
      <c r="B604" s="174"/>
      <c r="C604" s="175"/>
      <c r="D604" s="175"/>
      <c r="E604" s="175"/>
      <c r="F604" s="122"/>
      <c r="G604" s="122"/>
      <c r="H604" s="122"/>
      <c r="I604" s="122"/>
      <c r="J604" s="173"/>
      <c r="K604" s="181"/>
      <c r="L604" s="181"/>
      <c r="M604" s="181"/>
      <c r="N604" s="181"/>
      <c r="O604" s="181"/>
      <c r="P604" s="181"/>
      <c r="Q604" s="181"/>
      <c r="R604" s="181"/>
      <c r="S604" s="181"/>
      <c r="T604" s="181"/>
      <c r="U604" s="181"/>
      <c r="V604" s="181"/>
      <c r="W604" s="181"/>
      <c r="X604" s="181"/>
      <c r="Y604" s="181"/>
    </row>
    <row r="605" spans="1:25" ht="15.75" hidden="1" customHeight="1" x14ac:dyDescent="0.2">
      <c r="A605" s="181"/>
      <c r="B605" s="174"/>
      <c r="C605" s="175"/>
      <c r="D605" s="175"/>
      <c r="E605" s="175"/>
      <c r="F605" s="122"/>
      <c r="G605" s="122"/>
      <c r="H605" s="122"/>
      <c r="I605" s="122"/>
      <c r="J605" s="173"/>
      <c r="K605" s="181"/>
      <c r="L605" s="181"/>
      <c r="M605" s="181"/>
      <c r="N605" s="181"/>
      <c r="O605" s="181"/>
      <c r="P605" s="181"/>
      <c r="Q605" s="181"/>
      <c r="R605" s="181"/>
      <c r="S605" s="181"/>
      <c r="T605" s="181"/>
      <c r="U605" s="181"/>
      <c r="V605" s="181"/>
      <c r="W605" s="181"/>
      <c r="X605" s="181"/>
      <c r="Y605" s="181"/>
    </row>
    <row r="606" spans="1:25" ht="15.75" hidden="1" customHeight="1" x14ac:dyDescent="0.2">
      <c r="A606" s="181"/>
      <c r="B606" s="174"/>
      <c r="C606" s="175"/>
      <c r="D606" s="175"/>
      <c r="E606" s="175"/>
      <c r="F606" s="122"/>
      <c r="G606" s="122"/>
      <c r="H606" s="122"/>
      <c r="I606" s="122"/>
      <c r="J606" s="173"/>
      <c r="K606" s="181"/>
      <c r="L606" s="181"/>
      <c r="M606" s="181"/>
      <c r="N606" s="181"/>
      <c r="O606" s="181"/>
      <c r="P606" s="181"/>
      <c r="Q606" s="181"/>
      <c r="R606" s="181"/>
      <c r="S606" s="181"/>
      <c r="T606" s="181"/>
      <c r="U606" s="181"/>
      <c r="V606" s="181"/>
      <c r="W606" s="181"/>
      <c r="X606" s="181"/>
      <c r="Y606" s="181"/>
    </row>
    <row r="607" spans="1:25" ht="15.75" hidden="1" customHeight="1" x14ac:dyDescent="0.2">
      <c r="A607" s="181"/>
      <c r="B607" s="174"/>
      <c r="C607" s="175"/>
      <c r="D607" s="175"/>
      <c r="E607" s="175"/>
      <c r="F607" s="122"/>
      <c r="G607" s="122"/>
      <c r="H607" s="122"/>
      <c r="I607" s="122"/>
      <c r="J607" s="173"/>
      <c r="K607" s="181"/>
      <c r="L607" s="181"/>
      <c r="M607" s="181"/>
      <c r="N607" s="181"/>
      <c r="O607" s="181"/>
      <c r="P607" s="181"/>
      <c r="Q607" s="181"/>
      <c r="R607" s="181"/>
      <c r="S607" s="181"/>
      <c r="T607" s="181"/>
      <c r="U607" s="181"/>
      <c r="V607" s="181"/>
      <c r="W607" s="181"/>
      <c r="X607" s="181"/>
      <c r="Y607" s="181"/>
    </row>
    <row r="608" spans="1:25" ht="15.75" hidden="1" customHeight="1" x14ac:dyDescent="0.2">
      <c r="A608" s="181"/>
      <c r="B608" s="174"/>
      <c r="C608" s="175"/>
      <c r="D608" s="175"/>
      <c r="E608" s="175"/>
      <c r="F608" s="122"/>
      <c r="G608" s="122"/>
      <c r="H608" s="122"/>
      <c r="I608" s="122"/>
      <c r="J608" s="173"/>
      <c r="K608" s="181"/>
      <c r="L608" s="181"/>
      <c r="M608" s="181"/>
      <c r="N608" s="181"/>
      <c r="O608" s="181"/>
      <c r="P608" s="181"/>
      <c r="Q608" s="181"/>
      <c r="R608" s="181"/>
      <c r="S608" s="181"/>
      <c r="T608" s="181"/>
      <c r="U608" s="181"/>
      <c r="V608" s="181"/>
      <c r="W608" s="181"/>
      <c r="X608" s="181"/>
      <c r="Y608" s="181"/>
    </row>
    <row r="609" spans="1:25" ht="15.75" hidden="1" customHeight="1" x14ac:dyDescent="0.2">
      <c r="A609" s="181"/>
      <c r="B609" s="174"/>
      <c r="C609" s="175"/>
      <c r="D609" s="175"/>
      <c r="E609" s="175"/>
      <c r="F609" s="122"/>
      <c r="G609" s="122"/>
      <c r="H609" s="122"/>
      <c r="I609" s="122"/>
      <c r="J609" s="173"/>
      <c r="K609" s="181"/>
      <c r="L609" s="181"/>
      <c r="M609" s="181"/>
      <c r="N609" s="181"/>
      <c r="O609" s="181"/>
      <c r="P609" s="181"/>
      <c r="Q609" s="181"/>
      <c r="R609" s="181"/>
      <c r="S609" s="181"/>
      <c r="T609" s="181"/>
      <c r="U609" s="181"/>
      <c r="V609" s="181"/>
      <c r="W609" s="181"/>
      <c r="X609" s="181"/>
      <c r="Y609" s="181"/>
    </row>
    <row r="610" spans="1:25" ht="15.75" hidden="1" customHeight="1" x14ac:dyDescent="0.2">
      <c r="A610" s="181"/>
      <c r="B610" s="174"/>
      <c r="C610" s="175"/>
      <c r="D610" s="175"/>
      <c r="E610" s="175"/>
      <c r="F610" s="122"/>
      <c r="G610" s="122"/>
      <c r="H610" s="122"/>
      <c r="I610" s="122"/>
      <c r="J610" s="173"/>
      <c r="K610" s="181"/>
      <c r="L610" s="181"/>
      <c r="M610" s="181"/>
      <c r="N610" s="181"/>
      <c r="O610" s="181"/>
      <c r="P610" s="181"/>
      <c r="Q610" s="181"/>
      <c r="R610" s="181"/>
      <c r="S610" s="181"/>
      <c r="T610" s="181"/>
      <c r="U610" s="181"/>
      <c r="V610" s="181"/>
      <c r="W610" s="181"/>
      <c r="X610" s="181"/>
      <c r="Y610" s="181"/>
    </row>
    <row r="611" spans="1:25" ht="15.75" hidden="1" customHeight="1" x14ac:dyDescent="0.2">
      <c r="A611" s="181"/>
      <c r="B611" s="174"/>
      <c r="C611" s="175"/>
      <c r="D611" s="175"/>
      <c r="E611" s="175"/>
      <c r="F611" s="122"/>
      <c r="G611" s="122"/>
      <c r="H611" s="122"/>
      <c r="I611" s="122"/>
      <c r="J611" s="173"/>
      <c r="K611" s="181"/>
      <c r="L611" s="181"/>
      <c r="M611" s="181"/>
      <c r="N611" s="181"/>
      <c r="O611" s="181"/>
      <c r="P611" s="181"/>
      <c r="Q611" s="181"/>
      <c r="R611" s="181"/>
      <c r="S611" s="181"/>
      <c r="T611" s="181"/>
      <c r="U611" s="181"/>
      <c r="V611" s="181"/>
      <c r="W611" s="181"/>
      <c r="X611" s="181"/>
      <c r="Y611" s="181"/>
    </row>
    <row r="612" spans="1:25" ht="15.75" hidden="1" customHeight="1" x14ac:dyDescent="0.2">
      <c r="A612" s="181"/>
      <c r="B612" s="174"/>
      <c r="C612" s="175"/>
      <c r="D612" s="175"/>
      <c r="E612" s="175"/>
      <c r="F612" s="122"/>
      <c r="G612" s="122"/>
      <c r="H612" s="122"/>
      <c r="I612" s="122"/>
      <c r="J612" s="173"/>
      <c r="K612" s="181"/>
      <c r="L612" s="181"/>
      <c r="M612" s="181"/>
      <c r="N612" s="181"/>
      <c r="O612" s="181"/>
      <c r="P612" s="181"/>
      <c r="Q612" s="181"/>
      <c r="R612" s="181"/>
      <c r="S612" s="181"/>
      <c r="T612" s="181"/>
      <c r="U612" s="181"/>
      <c r="V612" s="181"/>
      <c r="W612" s="181"/>
      <c r="X612" s="181"/>
      <c r="Y612" s="181"/>
    </row>
    <row r="613" spans="1:25" ht="15.75" hidden="1" customHeight="1" x14ac:dyDescent="0.2">
      <c r="A613" s="181"/>
      <c r="B613" s="174"/>
      <c r="C613" s="175"/>
      <c r="D613" s="175"/>
      <c r="E613" s="175"/>
      <c r="F613" s="122"/>
      <c r="G613" s="122"/>
      <c r="H613" s="122"/>
      <c r="I613" s="122"/>
      <c r="J613" s="173"/>
      <c r="K613" s="181"/>
      <c r="L613" s="181"/>
      <c r="M613" s="181"/>
      <c r="N613" s="181"/>
      <c r="O613" s="181"/>
      <c r="P613" s="181"/>
      <c r="Q613" s="181"/>
      <c r="R613" s="181"/>
      <c r="S613" s="181"/>
      <c r="T613" s="181"/>
      <c r="U613" s="181"/>
      <c r="V613" s="181"/>
      <c r="W613" s="181"/>
      <c r="X613" s="181"/>
      <c r="Y613" s="181"/>
    </row>
    <row r="614" spans="1:25" ht="15.75" hidden="1" customHeight="1" x14ac:dyDescent="0.2">
      <c r="A614" s="181"/>
      <c r="B614" s="174"/>
      <c r="C614" s="175"/>
      <c r="D614" s="175"/>
      <c r="E614" s="175"/>
      <c r="F614" s="122"/>
      <c r="G614" s="122"/>
      <c r="H614" s="122"/>
      <c r="I614" s="122"/>
      <c r="J614" s="173"/>
      <c r="K614" s="181"/>
      <c r="L614" s="181"/>
      <c r="M614" s="181"/>
      <c r="N614" s="181"/>
      <c r="O614" s="181"/>
      <c r="P614" s="181"/>
      <c r="Q614" s="181"/>
      <c r="R614" s="181"/>
      <c r="S614" s="181"/>
      <c r="T614" s="181"/>
      <c r="U614" s="181"/>
      <c r="V614" s="181"/>
      <c r="W614" s="181"/>
      <c r="X614" s="181"/>
      <c r="Y614" s="181"/>
    </row>
    <row r="615" spans="1:25" ht="15.75" hidden="1" customHeight="1" x14ac:dyDescent="0.2">
      <c r="A615" s="181"/>
      <c r="B615" s="174"/>
      <c r="C615" s="175"/>
      <c r="D615" s="175"/>
      <c r="E615" s="175"/>
      <c r="F615" s="122"/>
      <c r="G615" s="122"/>
      <c r="H615" s="122"/>
      <c r="I615" s="122"/>
      <c r="J615" s="173"/>
      <c r="K615" s="181"/>
      <c r="L615" s="181"/>
      <c r="M615" s="181"/>
      <c r="N615" s="181"/>
      <c r="O615" s="181"/>
      <c r="P615" s="181"/>
      <c r="Q615" s="181"/>
      <c r="R615" s="181"/>
      <c r="S615" s="181"/>
      <c r="T615" s="181"/>
      <c r="U615" s="181"/>
      <c r="V615" s="181"/>
      <c r="W615" s="181"/>
      <c r="X615" s="181"/>
      <c r="Y615" s="181"/>
    </row>
    <row r="616" spans="1:25" ht="15.75" hidden="1" customHeight="1" x14ac:dyDescent="0.2">
      <c r="A616" s="181"/>
      <c r="B616" s="174"/>
      <c r="C616" s="175"/>
      <c r="D616" s="175"/>
      <c r="E616" s="175"/>
      <c r="F616" s="122"/>
      <c r="G616" s="122"/>
      <c r="H616" s="122"/>
      <c r="I616" s="122"/>
      <c r="J616" s="173"/>
      <c r="K616" s="181"/>
      <c r="L616" s="181"/>
      <c r="M616" s="181"/>
      <c r="N616" s="181"/>
      <c r="O616" s="181"/>
      <c r="P616" s="181"/>
      <c r="Q616" s="181"/>
      <c r="R616" s="181"/>
      <c r="S616" s="181"/>
      <c r="T616" s="181"/>
      <c r="U616" s="181"/>
      <c r="V616" s="181"/>
      <c r="W616" s="181"/>
      <c r="X616" s="181"/>
      <c r="Y616" s="181"/>
    </row>
    <row r="617" spans="1:25" ht="15.75" hidden="1" customHeight="1" x14ac:dyDescent="0.2">
      <c r="A617" s="181"/>
      <c r="B617" s="174"/>
      <c r="C617" s="175"/>
      <c r="D617" s="175"/>
      <c r="E617" s="175"/>
      <c r="F617" s="122"/>
      <c r="G617" s="122"/>
      <c r="H617" s="122"/>
      <c r="I617" s="122"/>
      <c r="J617" s="173"/>
      <c r="K617" s="181"/>
      <c r="L617" s="181"/>
      <c r="M617" s="181"/>
      <c r="N617" s="181"/>
      <c r="O617" s="181"/>
      <c r="P617" s="181"/>
      <c r="Q617" s="181"/>
      <c r="R617" s="181"/>
      <c r="S617" s="181"/>
      <c r="T617" s="181"/>
      <c r="U617" s="181"/>
      <c r="V617" s="181"/>
      <c r="W617" s="181"/>
      <c r="X617" s="181"/>
      <c r="Y617" s="181"/>
    </row>
    <row r="618" spans="1:25" ht="15.75" hidden="1" customHeight="1" x14ac:dyDescent="0.2">
      <c r="A618" s="181"/>
      <c r="B618" s="174"/>
      <c r="C618" s="175"/>
      <c r="D618" s="175"/>
      <c r="E618" s="175"/>
      <c r="F618" s="122"/>
      <c r="G618" s="122"/>
      <c r="H618" s="122"/>
      <c r="I618" s="122"/>
      <c r="J618" s="173"/>
      <c r="K618" s="181"/>
      <c r="L618" s="181"/>
      <c r="M618" s="181"/>
      <c r="N618" s="181"/>
      <c r="O618" s="181"/>
      <c r="P618" s="181"/>
      <c r="Q618" s="181"/>
      <c r="R618" s="181"/>
      <c r="S618" s="181"/>
      <c r="T618" s="181"/>
      <c r="U618" s="181"/>
      <c r="V618" s="181"/>
      <c r="W618" s="181"/>
      <c r="X618" s="181"/>
      <c r="Y618" s="181"/>
    </row>
    <row r="619" spans="1:25" ht="15.75" hidden="1" customHeight="1" x14ac:dyDescent="0.2">
      <c r="A619" s="181"/>
      <c r="B619" s="174"/>
      <c r="C619" s="175"/>
      <c r="D619" s="175"/>
      <c r="E619" s="175"/>
      <c r="F619" s="122"/>
      <c r="G619" s="122"/>
      <c r="H619" s="122"/>
      <c r="I619" s="122"/>
      <c r="J619" s="173"/>
      <c r="K619" s="181"/>
      <c r="L619" s="181"/>
      <c r="M619" s="181"/>
      <c r="N619" s="181"/>
      <c r="O619" s="181"/>
      <c r="P619" s="181"/>
      <c r="Q619" s="181"/>
      <c r="R619" s="181"/>
      <c r="S619" s="181"/>
      <c r="T619" s="181"/>
      <c r="U619" s="181"/>
      <c r="V619" s="181"/>
      <c r="W619" s="181"/>
      <c r="X619" s="181"/>
      <c r="Y619" s="181"/>
    </row>
    <row r="620" spans="1:25" ht="15.75" hidden="1" customHeight="1" x14ac:dyDescent="0.2">
      <c r="A620" s="181"/>
      <c r="B620" s="174"/>
      <c r="C620" s="175"/>
      <c r="D620" s="175"/>
      <c r="E620" s="175"/>
      <c r="F620" s="122"/>
      <c r="G620" s="122"/>
      <c r="H620" s="122"/>
      <c r="I620" s="122"/>
      <c r="J620" s="173"/>
      <c r="K620" s="181"/>
      <c r="L620" s="181"/>
      <c r="M620" s="181"/>
      <c r="N620" s="181"/>
      <c r="O620" s="181"/>
      <c r="P620" s="181"/>
      <c r="Q620" s="181"/>
      <c r="R620" s="181"/>
      <c r="S620" s="181"/>
      <c r="T620" s="181"/>
      <c r="U620" s="181"/>
      <c r="V620" s="181"/>
      <c r="W620" s="181"/>
      <c r="X620" s="181"/>
      <c r="Y620" s="181"/>
    </row>
    <row r="621" spans="1:25" ht="15.75" hidden="1" customHeight="1" x14ac:dyDescent="0.2">
      <c r="A621" s="181"/>
      <c r="B621" s="174"/>
      <c r="C621" s="175"/>
      <c r="D621" s="175"/>
      <c r="E621" s="175"/>
      <c r="F621" s="122"/>
      <c r="G621" s="122"/>
      <c r="H621" s="122"/>
      <c r="I621" s="122"/>
      <c r="J621" s="173"/>
      <c r="K621" s="181"/>
      <c r="L621" s="181"/>
      <c r="M621" s="181"/>
      <c r="N621" s="181"/>
      <c r="O621" s="181"/>
      <c r="P621" s="181"/>
      <c r="Q621" s="181"/>
      <c r="R621" s="181"/>
      <c r="S621" s="181"/>
      <c r="T621" s="181"/>
      <c r="U621" s="181"/>
      <c r="V621" s="181"/>
      <c r="W621" s="181"/>
      <c r="X621" s="181"/>
      <c r="Y621" s="181"/>
    </row>
    <row r="622" spans="1:25" ht="15.75" hidden="1" customHeight="1" x14ac:dyDescent="0.2">
      <c r="A622" s="181"/>
      <c r="B622" s="174"/>
      <c r="C622" s="175"/>
      <c r="D622" s="175"/>
      <c r="E622" s="175"/>
      <c r="F622" s="122"/>
      <c r="G622" s="122"/>
      <c r="H622" s="122"/>
      <c r="I622" s="122"/>
      <c r="J622" s="173"/>
      <c r="K622" s="181"/>
      <c r="L622" s="181"/>
      <c r="M622" s="181"/>
      <c r="N622" s="181"/>
      <c r="O622" s="181"/>
      <c r="P622" s="181"/>
      <c r="Q622" s="181"/>
      <c r="R622" s="181"/>
      <c r="S622" s="181"/>
      <c r="T622" s="181"/>
      <c r="U622" s="181"/>
      <c r="V622" s="181"/>
      <c r="W622" s="181"/>
      <c r="X622" s="181"/>
      <c r="Y622" s="181"/>
    </row>
    <row r="623" spans="1:25" ht="15.75" hidden="1" customHeight="1" x14ac:dyDescent="0.2">
      <c r="A623" s="181"/>
      <c r="B623" s="174"/>
      <c r="C623" s="175"/>
      <c r="D623" s="175"/>
      <c r="E623" s="175"/>
      <c r="F623" s="122"/>
      <c r="G623" s="122"/>
      <c r="H623" s="122"/>
      <c r="I623" s="122"/>
      <c r="J623" s="173"/>
      <c r="K623" s="181"/>
      <c r="L623" s="181"/>
      <c r="M623" s="181"/>
      <c r="N623" s="181"/>
      <c r="O623" s="181"/>
      <c r="P623" s="181"/>
      <c r="Q623" s="181"/>
      <c r="R623" s="181"/>
      <c r="S623" s="181"/>
      <c r="T623" s="181"/>
      <c r="U623" s="181"/>
      <c r="V623" s="181"/>
      <c r="W623" s="181"/>
      <c r="X623" s="181"/>
      <c r="Y623" s="181"/>
    </row>
    <row r="624" spans="1:25" ht="15.75" hidden="1" customHeight="1" x14ac:dyDescent="0.2">
      <c r="A624" s="181"/>
      <c r="B624" s="174"/>
      <c r="C624" s="175"/>
      <c r="D624" s="175"/>
      <c r="E624" s="175"/>
      <c r="F624" s="122"/>
      <c r="G624" s="122"/>
      <c r="H624" s="122"/>
      <c r="I624" s="122"/>
      <c r="J624" s="173"/>
      <c r="K624" s="181"/>
      <c r="L624" s="181"/>
      <c r="M624" s="181"/>
      <c r="N624" s="181"/>
      <c r="O624" s="181"/>
      <c r="P624" s="181"/>
      <c r="Q624" s="181"/>
      <c r="R624" s="181"/>
      <c r="S624" s="181"/>
      <c r="T624" s="181"/>
      <c r="U624" s="181"/>
      <c r="V624" s="181"/>
      <c r="W624" s="181"/>
      <c r="X624" s="181"/>
      <c r="Y624" s="181"/>
    </row>
    <row r="625" spans="1:25" ht="15.75" hidden="1" customHeight="1" x14ac:dyDescent="0.2">
      <c r="A625" s="181"/>
      <c r="B625" s="174"/>
      <c r="C625" s="175"/>
      <c r="D625" s="175"/>
      <c r="E625" s="175"/>
      <c r="F625" s="122"/>
      <c r="G625" s="122"/>
      <c r="H625" s="122"/>
      <c r="I625" s="122"/>
      <c r="J625" s="173"/>
      <c r="K625" s="181"/>
      <c r="L625" s="181"/>
      <c r="M625" s="181"/>
      <c r="N625" s="181"/>
      <c r="O625" s="181"/>
      <c r="P625" s="181"/>
      <c r="Q625" s="181"/>
      <c r="R625" s="181"/>
      <c r="S625" s="181"/>
      <c r="T625" s="181"/>
      <c r="U625" s="181"/>
      <c r="V625" s="181"/>
      <c r="W625" s="181"/>
      <c r="X625" s="181"/>
      <c r="Y625" s="181"/>
    </row>
    <row r="626" spans="1:25" ht="15.75" hidden="1" customHeight="1" x14ac:dyDescent="0.2">
      <c r="A626" s="181"/>
      <c r="B626" s="174"/>
      <c r="C626" s="175"/>
      <c r="D626" s="175"/>
      <c r="E626" s="175"/>
      <c r="F626" s="122"/>
      <c r="G626" s="122"/>
      <c r="H626" s="122"/>
      <c r="I626" s="122"/>
      <c r="J626" s="173"/>
      <c r="K626" s="181"/>
      <c r="L626" s="181"/>
      <c r="M626" s="181"/>
      <c r="N626" s="181"/>
      <c r="O626" s="181"/>
      <c r="P626" s="181"/>
      <c r="Q626" s="181"/>
      <c r="R626" s="181"/>
      <c r="S626" s="181"/>
      <c r="T626" s="181"/>
      <c r="U626" s="181"/>
      <c r="V626" s="181"/>
      <c r="W626" s="181"/>
      <c r="X626" s="181"/>
      <c r="Y626" s="181"/>
    </row>
    <row r="627" spans="1:25" ht="15.75" hidden="1" customHeight="1" x14ac:dyDescent="0.2">
      <c r="A627" s="181"/>
      <c r="B627" s="174"/>
      <c r="C627" s="175"/>
      <c r="D627" s="175"/>
      <c r="E627" s="175"/>
      <c r="F627" s="122"/>
      <c r="G627" s="122"/>
      <c r="H627" s="122"/>
      <c r="I627" s="122"/>
      <c r="J627" s="173"/>
      <c r="K627" s="181"/>
      <c r="L627" s="181"/>
      <c r="M627" s="181"/>
      <c r="N627" s="181"/>
      <c r="O627" s="181"/>
      <c r="P627" s="181"/>
      <c r="Q627" s="181"/>
      <c r="R627" s="181"/>
      <c r="S627" s="181"/>
      <c r="T627" s="181"/>
      <c r="U627" s="181"/>
      <c r="V627" s="181"/>
      <c r="W627" s="181"/>
      <c r="X627" s="181"/>
      <c r="Y627" s="181"/>
    </row>
    <row r="628" spans="1:25" ht="15.75" hidden="1" customHeight="1" x14ac:dyDescent="0.2">
      <c r="A628" s="181"/>
      <c r="B628" s="174"/>
      <c r="C628" s="175"/>
      <c r="D628" s="175"/>
      <c r="E628" s="175"/>
      <c r="F628" s="122"/>
      <c r="G628" s="122"/>
      <c r="H628" s="122"/>
      <c r="I628" s="122"/>
      <c r="J628" s="173"/>
      <c r="K628" s="181"/>
      <c r="L628" s="181"/>
      <c r="M628" s="181"/>
      <c r="N628" s="181"/>
      <c r="O628" s="181"/>
      <c r="P628" s="181"/>
      <c r="Q628" s="181"/>
      <c r="R628" s="181"/>
      <c r="S628" s="181"/>
      <c r="T628" s="181"/>
      <c r="U628" s="181"/>
      <c r="V628" s="181"/>
      <c r="W628" s="181"/>
      <c r="X628" s="181"/>
      <c r="Y628" s="181"/>
    </row>
    <row r="629" spans="1:25" ht="15.75" hidden="1" customHeight="1" x14ac:dyDescent="0.2">
      <c r="A629" s="181"/>
      <c r="B629" s="174"/>
      <c r="C629" s="175"/>
      <c r="D629" s="175"/>
      <c r="E629" s="175"/>
      <c r="F629" s="122"/>
      <c r="G629" s="122"/>
      <c r="H629" s="122"/>
      <c r="I629" s="122"/>
      <c r="J629" s="173"/>
      <c r="K629" s="181"/>
      <c r="L629" s="181"/>
      <c r="M629" s="181"/>
      <c r="N629" s="181"/>
      <c r="O629" s="181"/>
      <c r="P629" s="181"/>
      <c r="Q629" s="181"/>
      <c r="R629" s="181"/>
      <c r="S629" s="181"/>
      <c r="T629" s="181"/>
      <c r="U629" s="181"/>
      <c r="V629" s="181"/>
      <c r="W629" s="181"/>
      <c r="X629" s="181"/>
      <c r="Y629" s="181"/>
    </row>
    <row r="630" spans="1:25" ht="15.75" hidden="1" customHeight="1" x14ac:dyDescent="0.2">
      <c r="A630" s="181"/>
      <c r="B630" s="174"/>
      <c r="C630" s="175"/>
      <c r="D630" s="175"/>
      <c r="E630" s="175"/>
      <c r="F630" s="122"/>
      <c r="G630" s="122"/>
      <c r="H630" s="122"/>
      <c r="I630" s="122"/>
      <c r="J630" s="173"/>
      <c r="K630" s="181"/>
      <c r="L630" s="181"/>
      <c r="M630" s="181"/>
      <c r="N630" s="181"/>
      <c r="O630" s="181"/>
      <c r="P630" s="181"/>
      <c r="Q630" s="181"/>
      <c r="R630" s="181"/>
      <c r="S630" s="181"/>
      <c r="T630" s="181"/>
      <c r="U630" s="181"/>
      <c r="V630" s="181"/>
      <c r="W630" s="181"/>
      <c r="X630" s="181"/>
      <c r="Y630" s="181"/>
    </row>
    <row r="631" spans="1:25" ht="15.75" hidden="1" customHeight="1" x14ac:dyDescent="0.2">
      <c r="A631" s="181"/>
      <c r="B631" s="174"/>
      <c r="C631" s="175"/>
      <c r="D631" s="175"/>
      <c r="E631" s="175"/>
      <c r="F631" s="122"/>
      <c r="G631" s="122"/>
      <c r="H631" s="122"/>
      <c r="I631" s="122"/>
      <c r="J631" s="173"/>
      <c r="K631" s="181"/>
      <c r="L631" s="181"/>
      <c r="M631" s="181"/>
      <c r="N631" s="181"/>
      <c r="O631" s="181"/>
      <c r="P631" s="181"/>
      <c r="Q631" s="181"/>
      <c r="R631" s="181"/>
      <c r="S631" s="181"/>
      <c r="T631" s="181"/>
      <c r="U631" s="181"/>
      <c r="V631" s="181"/>
      <c r="W631" s="181"/>
      <c r="X631" s="181"/>
      <c r="Y631" s="181"/>
    </row>
    <row r="632" spans="1:25" ht="15.75" hidden="1" customHeight="1" x14ac:dyDescent="0.2">
      <c r="A632" s="181"/>
      <c r="B632" s="174"/>
      <c r="C632" s="175"/>
      <c r="D632" s="175"/>
      <c r="E632" s="175"/>
      <c r="F632" s="122"/>
      <c r="G632" s="122"/>
      <c r="H632" s="122"/>
      <c r="I632" s="122"/>
      <c r="J632" s="173"/>
      <c r="K632" s="181"/>
      <c r="L632" s="181"/>
      <c r="M632" s="181"/>
      <c r="N632" s="181"/>
      <c r="O632" s="181"/>
      <c r="P632" s="181"/>
      <c r="Q632" s="181"/>
      <c r="R632" s="181"/>
      <c r="S632" s="181"/>
      <c r="T632" s="181"/>
      <c r="U632" s="181"/>
      <c r="V632" s="181"/>
      <c r="W632" s="181"/>
      <c r="X632" s="181"/>
      <c r="Y632" s="181"/>
    </row>
    <row r="633" spans="1:25" ht="15.75" hidden="1" customHeight="1" x14ac:dyDescent="0.2">
      <c r="A633" s="181"/>
      <c r="B633" s="174"/>
      <c r="C633" s="175"/>
      <c r="D633" s="175"/>
      <c r="E633" s="175"/>
      <c r="F633" s="122"/>
      <c r="G633" s="122"/>
      <c r="H633" s="122"/>
      <c r="I633" s="122"/>
      <c r="J633" s="173"/>
      <c r="K633" s="181"/>
      <c r="L633" s="181"/>
      <c r="M633" s="181"/>
      <c r="N633" s="181"/>
      <c r="O633" s="181"/>
      <c r="P633" s="181"/>
      <c r="Q633" s="181"/>
      <c r="R633" s="181"/>
      <c r="S633" s="181"/>
      <c r="T633" s="181"/>
      <c r="U633" s="181"/>
      <c r="V633" s="181"/>
      <c r="W633" s="181"/>
      <c r="X633" s="181"/>
      <c r="Y633" s="181"/>
    </row>
    <row r="634" spans="1:25" ht="15.75" hidden="1" customHeight="1" x14ac:dyDescent="0.2">
      <c r="A634" s="181"/>
      <c r="B634" s="174"/>
      <c r="C634" s="175"/>
      <c r="D634" s="175"/>
      <c r="E634" s="175"/>
      <c r="F634" s="122"/>
      <c r="G634" s="122"/>
      <c r="H634" s="122"/>
      <c r="I634" s="122"/>
      <c r="J634" s="173"/>
      <c r="K634" s="181"/>
      <c r="L634" s="181"/>
      <c r="M634" s="181"/>
      <c r="N634" s="181"/>
      <c r="O634" s="181"/>
      <c r="P634" s="181"/>
      <c r="Q634" s="181"/>
      <c r="R634" s="181"/>
      <c r="S634" s="181"/>
      <c r="T634" s="181"/>
      <c r="U634" s="181"/>
      <c r="V634" s="181"/>
      <c r="W634" s="181"/>
      <c r="X634" s="181"/>
      <c r="Y634" s="181"/>
    </row>
    <row r="635" spans="1:25" ht="15.75" hidden="1" customHeight="1" x14ac:dyDescent="0.2">
      <c r="A635" s="181"/>
      <c r="B635" s="174"/>
      <c r="C635" s="175"/>
      <c r="D635" s="175"/>
      <c r="E635" s="175"/>
      <c r="F635" s="122"/>
      <c r="G635" s="122"/>
      <c r="H635" s="122"/>
      <c r="I635" s="122"/>
      <c r="J635" s="173"/>
      <c r="K635" s="181"/>
      <c r="L635" s="181"/>
      <c r="M635" s="181"/>
      <c r="N635" s="181"/>
      <c r="O635" s="181"/>
      <c r="P635" s="181"/>
      <c r="Q635" s="181"/>
      <c r="R635" s="181"/>
      <c r="S635" s="181"/>
      <c r="T635" s="181"/>
      <c r="U635" s="181"/>
      <c r="V635" s="181"/>
      <c r="W635" s="181"/>
      <c r="X635" s="181"/>
      <c r="Y635" s="181"/>
    </row>
    <row r="636" spans="1:25" ht="15.75" hidden="1" customHeight="1" x14ac:dyDescent="0.2">
      <c r="A636" s="181"/>
      <c r="B636" s="174"/>
      <c r="C636" s="175"/>
      <c r="D636" s="175"/>
      <c r="E636" s="175"/>
      <c r="F636" s="122"/>
      <c r="G636" s="122"/>
      <c r="H636" s="122"/>
      <c r="I636" s="122"/>
      <c r="J636" s="173"/>
      <c r="K636" s="181"/>
      <c r="L636" s="181"/>
      <c r="M636" s="181"/>
      <c r="N636" s="181"/>
      <c r="O636" s="181"/>
      <c r="P636" s="181"/>
      <c r="Q636" s="181"/>
      <c r="R636" s="181"/>
      <c r="S636" s="181"/>
      <c r="T636" s="181"/>
      <c r="U636" s="181"/>
      <c r="V636" s="181"/>
      <c r="W636" s="181"/>
      <c r="X636" s="181"/>
      <c r="Y636" s="181"/>
    </row>
    <row r="637" spans="1:25" ht="15.75" hidden="1" customHeight="1" x14ac:dyDescent="0.2">
      <c r="A637" s="181"/>
      <c r="B637" s="174"/>
      <c r="C637" s="175"/>
      <c r="D637" s="175"/>
      <c r="E637" s="175"/>
      <c r="F637" s="122"/>
      <c r="G637" s="122"/>
      <c r="H637" s="122"/>
      <c r="I637" s="122"/>
      <c r="J637" s="173"/>
      <c r="K637" s="181"/>
      <c r="L637" s="181"/>
      <c r="M637" s="181"/>
      <c r="N637" s="181"/>
      <c r="O637" s="181"/>
      <c r="P637" s="181"/>
      <c r="Q637" s="181"/>
      <c r="R637" s="181"/>
      <c r="S637" s="181"/>
      <c r="T637" s="181"/>
      <c r="U637" s="181"/>
      <c r="V637" s="181"/>
      <c r="W637" s="181"/>
      <c r="X637" s="181"/>
      <c r="Y637" s="181"/>
    </row>
    <row r="638" spans="1:25" ht="15.75" hidden="1" customHeight="1" x14ac:dyDescent="0.2">
      <c r="A638" s="181"/>
      <c r="B638" s="174"/>
      <c r="C638" s="175"/>
      <c r="D638" s="175"/>
      <c r="E638" s="175"/>
      <c r="F638" s="122"/>
      <c r="G638" s="122"/>
      <c r="H638" s="122"/>
      <c r="I638" s="122"/>
      <c r="J638" s="173"/>
      <c r="K638" s="181"/>
      <c r="L638" s="181"/>
      <c r="M638" s="181"/>
      <c r="N638" s="181"/>
      <c r="O638" s="181"/>
      <c r="P638" s="181"/>
      <c r="Q638" s="181"/>
      <c r="R638" s="181"/>
      <c r="S638" s="181"/>
      <c r="T638" s="181"/>
      <c r="U638" s="181"/>
      <c r="V638" s="181"/>
      <c r="W638" s="181"/>
      <c r="X638" s="181"/>
      <c r="Y638" s="181"/>
    </row>
    <row r="639" spans="1:25" ht="15.75" hidden="1" customHeight="1" x14ac:dyDescent="0.2">
      <c r="A639" s="181"/>
      <c r="B639" s="174"/>
      <c r="C639" s="175"/>
      <c r="D639" s="175"/>
      <c r="E639" s="175"/>
      <c r="F639" s="122"/>
      <c r="G639" s="122"/>
      <c r="H639" s="122"/>
      <c r="I639" s="122"/>
      <c r="J639" s="173"/>
      <c r="K639" s="181"/>
      <c r="L639" s="181"/>
      <c r="M639" s="181"/>
      <c r="N639" s="181"/>
      <c r="O639" s="181"/>
      <c r="P639" s="181"/>
      <c r="Q639" s="181"/>
      <c r="R639" s="181"/>
      <c r="S639" s="181"/>
      <c r="T639" s="181"/>
      <c r="U639" s="181"/>
      <c r="V639" s="181"/>
      <c r="W639" s="181"/>
      <c r="X639" s="181"/>
      <c r="Y639" s="181"/>
    </row>
    <row r="640" spans="1:25" ht="15.75" hidden="1" customHeight="1" x14ac:dyDescent="0.2">
      <c r="A640" s="181"/>
      <c r="B640" s="174"/>
      <c r="C640" s="175"/>
      <c r="D640" s="175"/>
      <c r="E640" s="175"/>
      <c r="F640" s="122"/>
      <c r="G640" s="122"/>
      <c r="H640" s="122"/>
      <c r="I640" s="122"/>
      <c r="J640" s="173"/>
      <c r="K640" s="181"/>
      <c r="L640" s="181"/>
      <c r="M640" s="181"/>
      <c r="N640" s="181"/>
      <c r="O640" s="181"/>
      <c r="P640" s="181"/>
      <c r="Q640" s="181"/>
      <c r="R640" s="181"/>
      <c r="S640" s="181"/>
      <c r="T640" s="181"/>
      <c r="U640" s="181"/>
      <c r="V640" s="181"/>
      <c r="W640" s="181"/>
      <c r="X640" s="181"/>
      <c r="Y640" s="181"/>
    </row>
    <row r="641" spans="1:25" ht="15.75" hidden="1" customHeight="1" x14ac:dyDescent="0.2">
      <c r="A641" s="181"/>
      <c r="B641" s="174"/>
      <c r="C641" s="175"/>
      <c r="D641" s="175"/>
      <c r="E641" s="175"/>
      <c r="F641" s="122"/>
      <c r="G641" s="122"/>
      <c r="H641" s="122"/>
      <c r="I641" s="122"/>
      <c r="J641" s="173"/>
      <c r="K641" s="181"/>
      <c r="L641" s="181"/>
      <c r="M641" s="181"/>
      <c r="N641" s="181"/>
      <c r="O641" s="181"/>
      <c r="P641" s="181"/>
      <c r="Q641" s="181"/>
      <c r="R641" s="181"/>
      <c r="S641" s="181"/>
      <c r="T641" s="181"/>
      <c r="U641" s="181"/>
      <c r="V641" s="181"/>
      <c r="W641" s="181"/>
      <c r="X641" s="181"/>
      <c r="Y641" s="181"/>
    </row>
    <row r="642" spans="1:25" ht="15.75" hidden="1" customHeight="1" x14ac:dyDescent="0.2">
      <c r="A642" s="181"/>
      <c r="B642" s="174"/>
      <c r="C642" s="175"/>
      <c r="D642" s="175"/>
      <c r="E642" s="175"/>
      <c r="F642" s="122"/>
      <c r="G642" s="122"/>
      <c r="H642" s="122"/>
      <c r="I642" s="122"/>
      <c r="J642" s="173"/>
      <c r="K642" s="181"/>
      <c r="L642" s="181"/>
      <c r="M642" s="181"/>
      <c r="N642" s="181"/>
      <c r="O642" s="181"/>
      <c r="P642" s="181"/>
      <c r="Q642" s="181"/>
      <c r="R642" s="181"/>
      <c r="S642" s="181"/>
      <c r="T642" s="181"/>
      <c r="U642" s="181"/>
      <c r="V642" s="181"/>
      <c r="W642" s="181"/>
      <c r="X642" s="181"/>
      <c r="Y642" s="181"/>
    </row>
    <row r="643" spans="1:25" ht="15.75" hidden="1" customHeight="1" x14ac:dyDescent="0.2">
      <c r="A643" s="181"/>
      <c r="B643" s="174"/>
      <c r="C643" s="175"/>
      <c r="D643" s="175"/>
      <c r="E643" s="175"/>
      <c r="F643" s="122"/>
      <c r="G643" s="122"/>
      <c r="H643" s="122"/>
      <c r="I643" s="122"/>
      <c r="J643" s="173"/>
      <c r="K643" s="181"/>
      <c r="L643" s="181"/>
      <c r="M643" s="181"/>
      <c r="N643" s="181"/>
      <c r="O643" s="181"/>
      <c r="P643" s="181"/>
      <c r="Q643" s="181"/>
      <c r="R643" s="181"/>
      <c r="S643" s="181"/>
      <c r="T643" s="181"/>
      <c r="U643" s="181"/>
      <c r="V643" s="181"/>
      <c r="W643" s="181"/>
      <c r="X643" s="181"/>
      <c r="Y643" s="181"/>
    </row>
    <row r="644" spans="1:25" ht="15.75" hidden="1" customHeight="1" x14ac:dyDescent="0.2">
      <c r="A644" s="181"/>
      <c r="B644" s="174"/>
      <c r="C644" s="175"/>
      <c r="D644" s="175"/>
      <c r="E644" s="175"/>
      <c r="F644" s="122"/>
      <c r="G644" s="122"/>
      <c r="H644" s="122"/>
      <c r="I644" s="122"/>
      <c r="J644" s="173"/>
      <c r="K644" s="181"/>
      <c r="L644" s="181"/>
      <c r="M644" s="181"/>
      <c r="N644" s="181"/>
      <c r="O644" s="181"/>
      <c r="P644" s="181"/>
      <c r="Q644" s="181"/>
      <c r="R644" s="181"/>
      <c r="S644" s="181"/>
      <c r="T644" s="181"/>
      <c r="U644" s="181"/>
      <c r="V644" s="181"/>
      <c r="W644" s="181"/>
      <c r="X644" s="181"/>
      <c r="Y644" s="181"/>
    </row>
    <row r="645" spans="1:25" ht="15.75" hidden="1" customHeight="1" x14ac:dyDescent="0.2">
      <c r="A645" s="181"/>
      <c r="B645" s="174"/>
      <c r="C645" s="175"/>
      <c r="D645" s="175"/>
      <c r="E645" s="175"/>
      <c r="F645" s="122"/>
      <c r="G645" s="122"/>
      <c r="H645" s="122"/>
      <c r="I645" s="122"/>
      <c r="J645" s="173"/>
      <c r="K645" s="181"/>
      <c r="L645" s="181"/>
      <c r="M645" s="181"/>
      <c r="N645" s="181"/>
      <c r="O645" s="181"/>
      <c r="P645" s="181"/>
      <c r="Q645" s="181"/>
      <c r="R645" s="181"/>
      <c r="S645" s="181"/>
      <c r="T645" s="181"/>
      <c r="U645" s="181"/>
      <c r="V645" s="181"/>
      <c r="W645" s="181"/>
      <c r="X645" s="181"/>
      <c r="Y645" s="181"/>
    </row>
    <row r="646" spans="1:25" ht="15.75" hidden="1" customHeight="1" x14ac:dyDescent="0.2">
      <c r="A646" s="181"/>
      <c r="B646" s="174"/>
      <c r="C646" s="175"/>
      <c r="D646" s="175"/>
      <c r="E646" s="175"/>
      <c r="F646" s="122"/>
      <c r="G646" s="122"/>
      <c r="H646" s="122"/>
      <c r="I646" s="122"/>
      <c r="J646" s="173"/>
      <c r="K646" s="181"/>
      <c r="L646" s="181"/>
      <c r="M646" s="181"/>
      <c r="N646" s="181"/>
      <c r="O646" s="181"/>
      <c r="P646" s="181"/>
      <c r="Q646" s="181"/>
      <c r="R646" s="181"/>
      <c r="S646" s="181"/>
      <c r="T646" s="181"/>
      <c r="U646" s="181"/>
      <c r="V646" s="181"/>
      <c r="W646" s="181"/>
      <c r="X646" s="181"/>
      <c r="Y646" s="181"/>
    </row>
    <row r="647" spans="1:25" ht="15.75" hidden="1" customHeight="1" x14ac:dyDescent="0.2">
      <c r="A647" s="181"/>
      <c r="B647" s="174"/>
      <c r="C647" s="175"/>
      <c r="D647" s="175"/>
      <c r="E647" s="175"/>
      <c r="F647" s="122"/>
      <c r="G647" s="122"/>
      <c r="H647" s="122"/>
      <c r="I647" s="122"/>
      <c r="J647" s="173"/>
      <c r="K647" s="181"/>
      <c r="L647" s="181"/>
      <c r="M647" s="181"/>
      <c r="N647" s="181"/>
      <c r="O647" s="181"/>
      <c r="P647" s="181"/>
      <c r="Q647" s="181"/>
      <c r="R647" s="181"/>
      <c r="S647" s="181"/>
      <c r="T647" s="181"/>
      <c r="U647" s="181"/>
      <c r="V647" s="181"/>
      <c r="W647" s="181"/>
      <c r="X647" s="181"/>
      <c r="Y647" s="181"/>
    </row>
    <row r="648" spans="1:25" ht="15.75" hidden="1" customHeight="1" x14ac:dyDescent="0.2">
      <c r="A648" s="181"/>
      <c r="B648" s="174"/>
      <c r="C648" s="175"/>
      <c r="D648" s="175"/>
      <c r="E648" s="175"/>
      <c r="F648" s="122"/>
      <c r="G648" s="122"/>
      <c r="H648" s="122"/>
      <c r="I648" s="122"/>
      <c r="J648" s="173"/>
      <c r="K648" s="181"/>
      <c r="L648" s="181"/>
      <c r="M648" s="181"/>
      <c r="N648" s="181"/>
      <c r="O648" s="181"/>
      <c r="P648" s="181"/>
      <c r="Q648" s="181"/>
      <c r="R648" s="181"/>
      <c r="S648" s="181"/>
      <c r="T648" s="181"/>
      <c r="U648" s="181"/>
      <c r="V648" s="181"/>
      <c r="W648" s="181"/>
      <c r="X648" s="181"/>
      <c r="Y648" s="181"/>
    </row>
    <row r="649" spans="1:25" ht="15.75" hidden="1" customHeight="1" x14ac:dyDescent="0.2">
      <c r="A649" s="181"/>
      <c r="B649" s="174"/>
      <c r="C649" s="175"/>
      <c r="D649" s="175"/>
      <c r="E649" s="175"/>
      <c r="F649" s="122"/>
      <c r="G649" s="122"/>
      <c r="H649" s="122"/>
      <c r="I649" s="122"/>
      <c r="J649" s="173"/>
      <c r="K649" s="181"/>
      <c r="L649" s="181"/>
      <c r="M649" s="181"/>
      <c r="N649" s="181"/>
      <c r="O649" s="181"/>
      <c r="P649" s="181"/>
      <c r="Q649" s="181"/>
      <c r="R649" s="181"/>
      <c r="S649" s="181"/>
      <c r="T649" s="181"/>
      <c r="U649" s="181"/>
      <c r="V649" s="181"/>
      <c r="W649" s="181"/>
      <c r="X649" s="181"/>
      <c r="Y649" s="181"/>
    </row>
    <row r="650" spans="1:25" ht="15.75" hidden="1" customHeight="1" x14ac:dyDescent="0.2">
      <c r="A650" s="181"/>
      <c r="B650" s="174"/>
      <c r="C650" s="175"/>
      <c r="D650" s="175"/>
      <c r="E650" s="175"/>
      <c r="F650" s="122"/>
      <c r="G650" s="122"/>
      <c r="H650" s="122"/>
      <c r="I650" s="122"/>
      <c r="J650" s="173"/>
      <c r="K650" s="181"/>
      <c r="L650" s="181"/>
      <c r="M650" s="181"/>
      <c r="N650" s="181"/>
      <c r="O650" s="181"/>
      <c r="P650" s="181"/>
      <c r="Q650" s="181"/>
      <c r="R650" s="181"/>
      <c r="S650" s="181"/>
      <c r="T650" s="181"/>
      <c r="U650" s="181"/>
      <c r="V650" s="181"/>
      <c r="W650" s="181"/>
      <c r="X650" s="181"/>
      <c r="Y650" s="181"/>
    </row>
    <row r="651" spans="1:25" ht="15.75" hidden="1" customHeight="1" x14ac:dyDescent="0.2">
      <c r="A651" s="181"/>
      <c r="B651" s="174"/>
      <c r="C651" s="175"/>
      <c r="D651" s="175"/>
      <c r="E651" s="175"/>
      <c r="F651" s="122"/>
      <c r="G651" s="122"/>
      <c r="H651" s="122"/>
      <c r="I651" s="122"/>
      <c r="J651" s="173"/>
      <c r="K651" s="181"/>
      <c r="L651" s="181"/>
      <c r="M651" s="181"/>
      <c r="N651" s="181"/>
      <c r="O651" s="181"/>
      <c r="P651" s="181"/>
      <c r="Q651" s="181"/>
      <c r="R651" s="181"/>
      <c r="S651" s="181"/>
      <c r="T651" s="181"/>
      <c r="U651" s="181"/>
      <c r="V651" s="181"/>
      <c r="W651" s="181"/>
      <c r="X651" s="181"/>
      <c r="Y651" s="181"/>
    </row>
    <row r="652" spans="1:25" ht="15.75" hidden="1" customHeight="1" x14ac:dyDescent="0.2">
      <c r="A652" s="181"/>
      <c r="B652" s="174"/>
      <c r="C652" s="175"/>
      <c r="D652" s="175"/>
      <c r="E652" s="175"/>
      <c r="F652" s="122"/>
      <c r="G652" s="122"/>
      <c r="H652" s="122"/>
      <c r="I652" s="122"/>
      <c r="J652" s="173"/>
      <c r="K652" s="181"/>
      <c r="L652" s="181"/>
      <c r="M652" s="181"/>
      <c r="N652" s="181"/>
      <c r="O652" s="181"/>
      <c r="P652" s="181"/>
      <c r="Q652" s="181"/>
      <c r="R652" s="181"/>
      <c r="S652" s="181"/>
      <c r="T652" s="181"/>
      <c r="U652" s="181"/>
      <c r="V652" s="181"/>
      <c r="W652" s="181"/>
      <c r="X652" s="181"/>
      <c r="Y652" s="181"/>
    </row>
    <row r="653" spans="1:25" ht="15.75" hidden="1" customHeight="1" x14ac:dyDescent="0.2">
      <c r="A653" s="181"/>
      <c r="B653" s="174"/>
      <c r="C653" s="175"/>
      <c r="D653" s="175"/>
      <c r="E653" s="175"/>
      <c r="F653" s="122"/>
      <c r="G653" s="122"/>
      <c r="H653" s="122"/>
      <c r="I653" s="122"/>
      <c r="J653" s="173"/>
      <c r="K653" s="181"/>
      <c r="L653" s="181"/>
      <c r="M653" s="181"/>
      <c r="N653" s="181"/>
      <c r="O653" s="181"/>
      <c r="P653" s="181"/>
      <c r="Q653" s="181"/>
      <c r="R653" s="181"/>
      <c r="S653" s="181"/>
      <c r="T653" s="181"/>
      <c r="U653" s="181"/>
      <c r="V653" s="181"/>
      <c r="W653" s="181"/>
      <c r="X653" s="181"/>
      <c r="Y653" s="181"/>
    </row>
    <row r="654" spans="1:25" ht="15.75" hidden="1" customHeight="1" x14ac:dyDescent="0.2">
      <c r="A654" s="181"/>
      <c r="B654" s="174"/>
      <c r="C654" s="175"/>
      <c r="D654" s="175"/>
      <c r="E654" s="175"/>
      <c r="F654" s="122"/>
      <c r="G654" s="122"/>
      <c r="H654" s="122"/>
      <c r="I654" s="122"/>
      <c r="J654" s="173"/>
      <c r="K654" s="181"/>
      <c r="L654" s="181"/>
      <c r="M654" s="181"/>
      <c r="N654" s="181"/>
      <c r="O654" s="181"/>
      <c r="P654" s="181"/>
      <c r="Q654" s="181"/>
      <c r="R654" s="181"/>
      <c r="S654" s="181"/>
      <c r="T654" s="181"/>
      <c r="U654" s="181"/>
      <c r="V654" s="181"/>
      <c r="W654" s="181"/>
      <c r="X654" s="181"/>
      <c r="Y654" s="181"/>
    </row>
    <row r="655" spans="1:25" ht="15.75" hidden="1" customHeight="1" x14ac:dyDescent="0.2">
      <c r="A655" s="181"/>
      <c r="B655" s="174"/>
      <c r="C655" s="175"/>
      <c r="D655" s="175"/>
      <c r="E655" s="175"/>
      <c r="F655" s="122"/>
      <c r="G655" s="122"/>
      <c r="H655" s="122"/>
      <c r="I655" s="122"/>
      <c r="J655" s="173"/>
      <c r="K655" s="181"/>
      <c r="L655" s="181"/>
      <c r="M655" s="181"/>
      <c r="N655" s="181"/>
      <c r="O655" s="181"/>
      <c r="P655" s="181"/>
      <c r="Q655" s="181"/>
      <c r="R655" s="181"/>
      <c r="S655" s="181"/>
      <c r="T655" s="181"/>
      <c r="U655" s="181"/>
      <c r="V655" s="181"/>
      <c r="W655" s="181"/>
      <c r="X655" s="181"/>
      <c r="Y655" s="181"/>
    </row>
    <row r="656" spans="1:25" ht="15.75" hidden="1" customHeight="1" x14ac:dyDescent="0.2">
      <c r="A656" s="181"/>
      <c r="B656" s="174"/>
      <c r="C656" s="175"/>
      <c r="D656" s="175"/>
      <c r="E656" s="175"/>
      <c r="F656" s="122"/>
      <c r="G656" s="122"/>
      <c r="H656" s="122"/>
      <c r="I656" s="122"/>
      <c r="J656" s="173"/>
      <c r="K656" s="181"/>
      <c r="L656" s="181"/>
      <c r="M656" s="181"/>
      <c r="N656" s="181"/>
      <c r="O656" s="181"/>
      <c r="P656" s="181"/>
      <c r="Q656" s="181"/>
      <c r="R656" s="181"/>
      <c r="S656" s="181"/>
      <c r="T656" s="181"/>
      <c r="U656" s="181"/>
      <c r="V656" s="181"/>
      <c r="W656" s="181"/>
      <c r="X656" s="181"/>
      <c r="Y656" s="181"/>
    </row>
    <row r="657" spans="1:25" ht="15.75" hidden="1" customHeight="1" x14ac:dyDescent="0.2">
      <c r="A657" s="181"/>
      <c r="B657" s="174"/>
      <c r="C657" s="175"/>
      <c r="D657" s="175"/>
      <c r="E657" s="175"/>
      <c r="F657" s="122"/>
      <c r="G657" s="122"/>
      <c r="H657" s="122"/>
      <c r="I657" s="122"/>
      <c r="J657" s="173"/>
      <c r="K657" s="181"/>
      <c r="L657" s="181"/>
      <c r="M657" s="181"/>
      <c r="N657" s="181"/>
      <c r="O657" s="181"/>
      <c r="P657" s="181"/>
      <c r="Q657" s="181"/>
      <c r="R657" s="181"/>
      <c r="S657" s="181"/>
      <c r="T657" s="181"/>
      <c r="U657" s="181"/>
      <c r="V657" s="181"/>
      <c r="W657" s="181"/>
      <c r="X657" s="181"/>
      <c r="Y657" s="181"/>
    </row>
    <row r="658" spans="1:25" ht="15.75" hidden="1" customHeight="1" x14ac:dyDescent="0.2">
      <c r="A658" s="181"/>
      <c r="B658" s="174"/>
      <c r="C658" s="175"/>
      <c r="D658" s="175"/>
      <c r="E658" s="175"/>
      <c r="F658" s="122"/>
      <c r="G658" s="122"/>
      <c r="H658" s="122"/>
      <c r="I658" s="122"/>
      <c r="J658" s="173"/>
      <c r="K658" s="181"/>
      <c r="L658" s="181"/>
      <c r="M658" s="181"/>
      <c r="N658" s="181"/>
      <c r="O658" s="181"/>
      <c r="P658" s="181"/>
      <c r="Q658" s="181"/>
      <c r="R658" s="181"/>
      <c r="S658" s="181"/>
      <c r="T658" s="181"/>
      <c r="U658" s="181"/>
      <c r="V658" s="181"/>
      <c r="W658" s="181"/>
      <c r="X658" s="181"/>
      <c r="Y658" s="181"/>
    </row>
    <row r="659" spans="1:25" ht="15.75" hidden="1" customHeight="1" x14ac:dyDescent="0.2">
      <c r="A659" s="181"/>
      <c r="B659" s="174"/>
      <c r="C659" s="175"/>
      <c r="D659" s="175"/>
      <c r="E659" s="175"/>
      <c r="F659" s="122"/>
      <c r="G659" s="122"/>
      <c r="H659" s="122"/>
      <c r="I659" s="122"/>
      <c r="J659" s="173"/>
      <c r="K659" s="181"/>
      <c r="L659" s="181"/>
      <c r="M659" s="181"/>
      <c r="N659" s="181"/>
      <c r="O659" s="181"/>
      <c r="P659" s="181"/>
      <c r="Q659" s="181"/>
      <c r="R659" s="181"/>
      <c r="S659" s="181"/>
      <c r="T659" s="181"/>
      <c r="U659" s="181"/>
      <c r="V659" s="181"/>
      <c r="W659" s="181"/>
      <c r="X659" s="181"/>
      <c r="Y659" s="181"/>
    </row>
    <row r="660" spans="1:25" ht="15.75" hidden="1" customHeight="1" x14ac:dyDescent="0.2">
      <c r="A660" s="181"/>
      <c r="B660" s="174"/>
      <c r="C660" s="175"/>
      <c r="D660" s="175"/>
      <c r="E660" s="175"/>
      <c r="F660" s="122"/>
      <c r="G660" s="122"/>
      <c r="H660" s="122"/>
      <c r="I660" s="122"/>
      <c r="J660" s="173"/>
      <c r="K660" s="181"/>
      <c r="L660" s="181"/>
      <c r="M660" s="181"/>
      <c r="N660" s="181"/>
      <c r="O660" s="181"/>
      <c r="P660" s="181"/>
      <c r="Q660" s="181"/>
      <c r="R660" s="181"/>
      <c r="S660" s="181"/>
      <c r="T660" s="181"/>
      <c r="U660" s="181"/>
      <c r="V660" s="181"/>
      <c r="W660" s="181"/>
      <c r="X660" s="181"/>
      <c r="Y660" s="181"/>
    </row>
    <row r="661" spans="1:25" ht="15.75" hidden="1" customHeight="1" x14ac:dyDescent="0.2">
      <c r="A661" s="181"/>
      <c r="B661" s="174"/>
      <c r="C661" s="175"/>
      <c r="D661" s="175"/>
      <c r="E661" s="175"/>
      <c r="F661" s="122"/>
      <c r="G661" s="122"/>
      <c r="H661" s="122"/>
      <c r="I661" s="122"/>
      <c r="J661" s="173"/>
      <c r="K661" s="181"/>
      <c r="L661" s="181"/>
      <c r="M661" s="181"/>
      <c r="N661" s="181"/>
      <c r="O661" s="181"/>
      <c r="P661" s="181"/>
      <c r="Q661" s="181"/>
      <c r="R661" s="181"/>
      <c r="S661" s="181"/>
      <c r="T661" s="181"/>
      <c r="U661" s="181"/>
      <c r="V661" s="181"/>
      <c r="W661" s="181"/>
      <c r="X661" s="181"/>
      <c r="Y661" s="181"/>
    </row>
    <row r="662" spans="1:25" ht="15.75" hidden="1" customHeight="1" x14ac:dyDescent="0.2">
      <c r="A662" s="181"/>
      <c r="B662" s="174"/>
      <c r="C662" s="175"/>
      <c r="D662" s="175"/>
      <c r="E662" s="175"/>
      <c r="F662" s="122"/>
      <c r="G662" s="122"/>
      <c r="H662" s="122"/>
      <c r="I662" s="122"/>
      <c r="J662" s="173"/>
      <c r="K662" s="181"/>
      <c r="L662" s="181"/>
      <c r="M662" s="181"/>
      <c r="N662" s="181"/>
      <c r="O662" s="181"/>
      <c r="P662" s="181"/>
      <c r="Q662" s="181"/>
      <c r="R662" s="181"/>
      <c r="S662" s="181"/>
      <c r="T662" s="181"/>
      <c r="U662" s="181"/>
      <c r="V662" s="181"/>
      <c r="W662" s="181"/>
      <c r="X662" s="181"/>
      <c r="Y662" s="181"/>
    </row>
    <row r="663" spans="1:25" ht="15.75" hidden="1" customHeight="1" x14ac:dyDescent="0.2">
      <c r="A663" s="181"/>
      <c r="B663" s="174"/>
      <c r="C663" s="175"/>
      <c r="D663" s="175"/>
      <c r="E663" s="175"/>
      <c r="F663" s="122"/>
      <c r="G663" s="122"/>
      <c r="H663" s="122"/>
      <c r="I663" s="122"/>
      <c r="J663" s="173"/>
      <c r="K663" s="181"/>
      <c r="L663" s="181"/>
      <c r="M663" s="181"/>
      <c r="N663" s="181"/>
      <c r="O663" s="181"/>
      <c r="P663" s="181"/>
      <c r="Q663" s="181"/>
      <c r="R663" s="181"/>
      <c r="S663" s="181"/>
      <c r="T663" s="181"/>
      <c r="U663" s="181"/>
      <c r="V663" s="181"/>
      <c r="W663" s="181"/>
      <c r="X663" s="181"/>
      <c r="Y663" s="181"/>
    </row>
    <row r="664" spans="1:25" ht="15.75" hidden="1" customHeight="1" x14ac:dyDescent="0.2">
      <c r="A664" s="181"/>
      <c r="B664" s="174"/>
      <c r="C664" s="175"/>
      <c r="D664" s="175"/>
      <c r="E664" s="175"/>
      <c r="F664" s="122"/>
      <c r="G664" s="122"/>
      <c r="H664" s="122"/>
      <c r="I664" s="122"/>
      <c r="J664" s="173"/>
      <c r="K664" s="181"/>
      <c r="L664" s="181"/>
      <c r="M664" s="181"/>
      <c r="N664" s="181"/>
      <c r="O664" s="181"/>
      <c r="P664" s="181"/>
      <c r="Q664" s="181"/>
      <c r="R664" s="181"/>
      <c r="S664" s="181"/>
      <c r="T664" s="181"/>
      <c r="U664" s="181"/>
      <c r="V664" s="181"/>
      <c r="W664" s="181"/>
      <c r="X664" s="181"/>
      <c r="Y664" s="181"/>
    </row>
    <row r="665" spans="1:25" ht="15.75" hidden="1" customHeight="1" x14ac:dyDescent="0.2">
      <c r="A665" s="181"/>
      <c r="B665" s="174"/>
      <c r="C665" s="175"/>
      <c r="D665" s="175"/>
      <c r="E665" s="175"/>
      <c r="F665" s="122"/>
      <c r="G665" s="122"/>
      <c r="H665" s="122"/>
      <c r="I665" s="122"/>
      <c r="J665" s="173"/>
      <c r="K665" s="181"/>
      <c r="L665" s="181"/>
      <c r="M665" s="181"/>
      <c r="N665" s="181"/>
      <c r="O665" s="181"/>
      <c r="P665" s="181"/>
      <c r="Q665" s="181"/>
      <c r="R665" s="181"/>
      <c r="S665" s="181"/>
      <c r="T665" s="181"/>
      <c r="U665" s="181"/>
      <c r="V665" s="181"/>
      <c r="W665" s="181"/>
      <c r="X665" s="181"/>
      <c r="Y665" s="181"/>
    </row>
    <row r="666" spans="1:25" ht="15.75" hidden="1" customHeight="1" x14ac:dyDescent="0.2">
      <c r="A666" s="181"/>
      <c r="B666" s="174"/>
      <c r="C666" s="175"/>
      <c r="D666" s="175"/>
      <c r="E666" s="175"/>
      <c r="F666" s="122"/>
      <c r="G666" s="122"/>
      <c r="H666" s="122"/>
      <c r="I666" s="122"/>
      <c r="J666" s="173"/>
      <c r="K666" s="181"/>
      <c r="L666" s="181"/>
      <c r="M666" s="181"/>
      <c r="N666" s="181"/>
      <c r="O666" s="181"/>
      <c r="P666" s="181"/>
      <c r="Q666" s="181"/>
      <c r="R666" s="181"/>
      <c r="S666" s="181"/>
      <c r="T666" s="181"/>
      <c r="U666" s="181"/>
      <c r="V666" s="181"/>
      <c r="W666" s="181"/>
      <c r="X666" s="181"/>
      <c r="Y666" s="181"/>
    </row>
    <row r="667" spans="1:25" ht="15.75" hidden="1" customHeight="1" x14ac:dyDescent="0.2">
      <c r="A667" s="181"/>
      <c r="B667" s="174"/>
      <c r="C667" s="175"/>
      <c r="D667" s="175"/>
      <c r="E667" s="175"/>
      <c r="F667" s="122"/>
      <c r="G667" s="122"/>
      <c r="H667" s="122"/>
      <c r="I667" s="122"/>
      <c r="J667" s="173"/>
      <c r="K667" s="181"/>
      <c r="L667" s="181"/>
      <c r="M667" s="181"/>
      <c r="N667" s="181"/>
      <c r="O667" s="181"/>
      <c r="P667" s="181"/>
      <c r="Q667" s="181"/>
      <c r="R667" s="181"/>
      <c r="S667" s="181"/>
      <c r="T667" s="181"/>
      <c r="U667" s="181"/>
      <c r="V667" s="181"/>
      <c r="W667" s="181"/>
      <c r="X667" s="181"/>
      <c r="Y667" s="181"/>
    </row>
    <row r="668" spans="1:25" ht="15.75" hidden="1" customHeight="1" x14ac:dyDescent="0.2">
      <c r="A668" s="181"/>
      <c r="B668" s="174"/>
      <c r="C668" s="175"/>
      <c r="D668" s="175"/>
      <c r="E668" s="175"/>
      <c r="F668" s="122"/>
      <c r="G668" s="122"/>
      <c r="H668" s="122"/>
      <c r="I668" s="122"/>
      <c r="J668" s="173"/>
      <c r="K668" s="181"/>
      <c r="L668" s="181"/>
      <c r="M668" s="181"/>
      <c r="N668" s="181"/>
      <c r="O668" s="181"/>
      <c r="P668" s="181"/>
      <c r="Q668" s="181"/>
      <c r="R668" s="181"/>
      <c r="S668" s="181"/>
      <c r="T668" s="181"/>
      <c r="U668" s="181"/>
      <c r="V668" s="181"/>
      <c r="W668" s="181"/>
      <c r="X668" s="181"/>
      <c r="Y668" s="181"/>
    </row>
    <row r="669" spans="1:25" ht="15.75" hidden="1" customHeight="1" x14ac:dyDescent="0.2">
      <c r="A669" s="181"/>
      <c r="B669" s="174"/>
      <c r="C669" s="175"/>
      <c r="D669" s="175"/>
      <c r="E669" s="175"/>
      <c r="F669" s="122"/>
      <c r="G669" s="122"/>
      <c r="H669" s="122"/>
      <c r="I669" s="122"/>
      <c r="J669" s="173"/>
      <c r="K669" s="181"/>
      <c r="L669" s="181"/>
      <c r="M669" s="181"/>
      <c r="N669" s="181"/>
      <c r="O669" s="181"/>
      <c r="P669" s="181"/>
      <c r="Q669" s="181"/>
      <c r="R669" s="181"/>
      <c r="S669" s="181"/>
      <c r="T669" s="181"/>
      <c r="U669" s="181"/>
      <c r="V669" s="181"/>
      <c r="W669" s="181"/>
      <c r="X669" s="181"/>
      <c r="Y669" s="181"/>
    </row>
    <row r="670" spans="1:25" ht="15.75" hidden="1" customHeight="1" x14ac:dyDescent="0.2">
      <c r="A670" s="181"/>
      <c r="B670" s="174"/>
      <c r="C670" s="175"/>
      <c r="D670" s="175"/>
      <c r="E670" s="175"/>
      <c r="F670" s="122"/>
      <c r="G670" s="122"/>
      <c r="H670" s="122"/>
      <c r="I670" s="122"/>
      <c r="J670" s="173"/>
      <c r="K670" s="181"/>
      <c r="L670" s="181"/>
      <c r="M670" s="181"/>
      <c r="N670" s="181"/>
      <c r="O670" s="181"/>
      <c r="P670" s="181"/>
      <c r="Q670" s="181"/>
      <c r="R670" s="181"/>
      <c r="S670" s="181"/>
      <c r="T670" s="181"/>
      <c r="U670" s="181"/>
      <c r="V670" s="181"/>
      <c r="W670" s="181"/>
      <c r="X670" s="181"/>
      <c r="Y670" s="181"/>
    </row>
    <row r="671" spans="1:25" ht="15.75" hidden="1" customHeight="1" x14ac:dyDescent="0.2">
      <c r="A671" s="181"/>
      <c r="B671" s="174"/>
      <c r="C671" s="175"/>
      <c r="D671" s="175"/>
      <c r="E671" s="175"/>
      <c r="F671" s="122"/>
      <c r="G671" s="122"/>
      <c r="H671" s="122"/>
      <c r="I671" s="122"/>
      <c r="J671" s="173"/>
      <c r="K671" s="181"/>
      <c r="L671" s="181"/>
      <c r="M671" s="181"/>
      <c r="N671" s="181"/>
      <c r="O671" s="181"/>
      <c r="P671" s="181"/>
      <c r="Q671" s="181"/>
      <c r="R671" s="181"/>
      <c r="S671" s="181"/>
      <c r="T671" s="181"/>
      <c r="U671" s="181"/>
      <c r="V671" s="181"/>
      <c r="W671" s="181"/>
      <c r="X671" s="181"/>
      <c r="Y671" s="181"/>
    </row>
    <row r="672" spans="1:25" ht="15.75" hidden="1" customHeight="1" x14ac:dyDescent="0.2">
      <c r="A672" s="181"/>
      <c r="B672" s="174"/>
      <c r="C672" s="175"/>
      <c r="D672" s="175"/>
      <c r="E672" s="175"/>
      <c r="F672" s="122"/>
      <c r="G672" s="122"/>
      <c r="H672" s="122"/>
      <c r="I672" s="122"/>
      <c r="J672" s="173"/>
      <c r="K672" s="181"/>
      <c r="L672" s="181"/>
      <c r="M672" s="181"/>
      <c r="N672" s="181"/>
      <c r="O672" s="181"/>
      <c r="P672" s="181"/>
      <c r="Q672" s="181"/>
      <c r="R672" s="181"/>
      <c r="S672" s="181"/>
      <c r="T672" s="181"/>
      <c r="U672" s="181"/>
      <c r="V672" s="181"/>
      <c r="W672" s="181"/>
      <c r="X672" s="181"/>
      <c r="Y672" s="181"/>
    </row>
    <row r="673" spans="1:25" ht="15.75" hidden="1" customHeight="1" x14ac:dyDescent="0.2">
      <c r="A673" s="181"/>
      <c r="B673" s="174"/>
      <c r="C673" s="175"/>
      <c r="D673" s="175"/>
      <c r="E673" s="175"/>
      <c r="F673" s="122"/>
      <c r="G673" s="122"/>
      <c r="H673" s="122"/>
      <c r="I673" s="122"/>
      <c r="J673" s="173"/>
      <c r="K673" s="181"/>
      <c r="L673" s="181"/>
      <c r="M673" s="181"/>
      <c r="N673" s="181"/>
      <c r="O673" s="181"/>
      <c r="P673" s="181"/>
      <c r="Q673" s="181"/>
      <c r="R673" s="181"/>
      <c r="S673" s="181"/>
      <c r="T673" s="181"/>
      <c r="U673" s="181"/>
      <c r="V673" s="181"/>
      <c r="W673" s="181"/>
      <c r="X673" s="181"/>
      <c r="Y673" s="181"/>
    </row>
    <row r="674" spans="1:25" ht="15.75" hidden="1" customHeight="1" x14ac:dyDescent="0.2">
      <c r="A674" s="181"/>
      <c r="B674" s="174"/>
      <c r="C674" s="175"/>
      <c r="D674" s="175"/>
      <c r="E674" s="175"/>
      <c r="F674" s="122"/>
      <c r="G674" s="122"/>
      <c r="H674" s="122"/>
      <c r="I674" s="122"/>
      <c r="J674" s="173"/>
      <c r="K674" s="181"/>
      <c r="L674" s="181"/>
      <c r="M674" s="181"/>
      <c r="N674" s="181"/>
      <c r="O674" s="181"/>
      <c r="P674" s="181"/>
      <c r="Q674" s="181"/>
      <c r="R674" s="181"/>
      <c r="S674" s="181"/>
      <c r="T674" s="181"/>
      <c r="U674" s="181"/>
      <c r="V674" s="181"/>
      <c r="W674" s="181"/>
      <c r="X674" s="181"/>
      <c r="Y674" s="181"/>
    </row>
    <row r="675" spans="1:25" ht="15.75" hidden="1" customHeight="1" x14ac:dyDescent="0.2">
      <c r="A675" s="181"/>
      <c r="B675" s="174"/>
      <c r="C675" s="175"/>
      <c r="D675" s="175"/>
      <c r="E675" s="175"/>
      <c r="F675" s="122"/>
      <c r="G675" s="122"/>
      <c r="H675" s="122"/>
      <c r="I675" s="122"/>
      <c r="J675" s="173"/>
      <c r="K675" s="181"/>
      <c r="L675" s="181"/>
      <c r="M675" s="181"/>
      <c r="N675" s="181"/>
      <c r="O675" s="181"/>
      <c r="P675" s="181"/>
      <c r="Q675" s="181"/>
      <c r="R675" s="181"/>
      <c r="S675" s="181"/>
      <c r="T675" s="181"/>
      <c r="U675" s="181"/>
      <c r="V675" s="181"/>
      <c r="W675" s="181"/>
      <c r="X675" s="181"/>
      <c r="Y675" s="181"/>
    </row>
    <row r="676" spans="1:25" ht="15.75" hidden="1" customHeight="1" x14ac:dyDescent="0.2">
      <c r="A676" s="181"/>
      <c r="B676" s="174"/>
      <c r="C676" s="175"/>
      <c r="D676" s="175"/>
      <c r="E676" s="175"/>
      <c r="F676" s="122"/>
      <c r="G676" s="122"/>
      <c r="H676" s="122"/>
      <c r="I676" s="122"/>
      <c r="J676" s="173"/>
      <c r="K676" s="181"/>
      <c r="L676" s="181"/>
      <c r="M676" s="181"/>
      <c r="N676" s="181"/>
      <c r="O676" s="181"/>
      <c r="P676" s="181"/>
      <c r="Q676" s="181"/>
      <c r="R676" s="181"/>
      <c r="S676" s="181"/>
      <c r="T676" s="181"/>
      <c r="U676" s="181"/>
      <c r="V676" s="181"/>
      <c r="W676" s="181"/>
      <c r="X676" s="181"/>
      <c r="Y676" s="181"/>
    </row>
    <row r="677" spans="1:25" ht="15.75" hidden="1" customHeight="1" x14ac:dyDescent="0.2">
      <c r="A677" s="181"/>
      <c r="B677" s="174"/>
      <c r="C677" s="175"/>
      <c r="D677" s="175"/>
      <c r="E677" s="175"/>
      <c r="F677" s="122"/>
      <c r="G677" s="122"/>
      <c r="H677" s="122"/>
      <c r="I677" s="122"/>
      <c r="J677" s="173"/>
      <c r="K677" s="181"/>
      <c r="L677" s="181"/>
      <c r="M677" s="181"/>
      <c r="N677" s="181"/>
      <c r="O677" s="181"/>
      <c r="P677" s="181"/>
      <c r="Q677" s="181"/>
      <c r="R677" s="181"/>
      <c r="S677" s="181"/>
      <c r="T677" s="181"/>
      <c r="U677" s="181"/>
      <c r="V677" s="181"/>
      <c r="W677" s="181"/>
      <c r="X677" s="181"/>
      <c r="Y677" s="181"/>
    </row>
    <row r="678" spans="1:25" ht="15.75" hidden="1" customHeight="1" x14ac:dyDescent="0.2">
      <c r="A678" s="181"/>
      <c r="B678" s="174"/>
      <c r="C678" s="175"/>
      <c r="D678" s="175"/>
      <c r="E678" s="175"/>
      <c r="F678" s="122"/>
      <c r="G678" s="122"/>
      <c r="H678" s="122"/>
      <c r="I678" s="122"/>
      <c r="J678" s="173"/>
      <c r="K678" s="181"/>
      <c r="L678" s="181"/>
      <c r="M678" s="181"/>
      <c r="N678" s="181"/>
      <c r="O678" s="181"/>
      <c r="P678" s="181"/>
      <c r="Q678" s="181"/>
      <c r="R678" s="181"/>
      <c r="S678" s="181"/>
      <c r="T678" s="181"/>
      <c r="U678" s="181"/>
      <c r="V678" s="181"/>
      <c r="W678" s="181"/>
      <c r="X678" s="181"/>
      <c r="Y678" s="181"/>
    </row>
    <row r="679" spans="1:25" ht="15.75" hidden="1" customHeight="1" x14ac:dyDescent="0.2">
      <c r="A679" s="181"/>
      <c r="B679" s="174"/>
      <c r="C679" s="175"/>
      <c r="D679" s="175"/>
      <c r="E679" s="175"/>
      <c r="F679" s="122"/>
      <c r="G679" s="122"/>
      <c r="H679" s="122"/>
      <c r="I679" s="122"/>
      <c r="J679" s="173"/>
      <c r="K679" s="181"/>
      <c r="L679" s="181"/>
      <c r="M679" s="181"/>
      <c r="N679" s="181"/>
      <c r="O679" s="181"/>
      <c r="P679" s="181"/>
      <c r="Q679" s="181"/>
      <c r="R679" s="181"/>
      <c r="S679" s="181"/>
      <c r="T679" s="181"/>
      <c r="U679" s="181"/>
      <c r="V679" s="181"/>
      <c r="W679" s="181"/>
      <c r="X679" s="181"/>
      <c r="Y679" s="181"/>
    </row>
    <row r="680" spans="1:25" ht="15.75" hidden="1" customHeight="1" x14ac:dyDescent="0.2">
      <c r="A680" s="181"/>
      <c r="B680" s="174"/>
      <c r="C680" s="175"/>
      <c r="D680" s="175"/>
      <c r="E680" s="175"/>
      <c r="F680" s="122"/>
      <c r="G680" s="122"/>
      <c r="H680" s="122"/>
      <c r="I680" s="122"/>
      <c r="J680" s="173"/>
      <c r="K680" s="181"/>
      <c r="L680" s="181"/>
      <c r="M680" s="181"/>
      <c r="N680" s="181"/>
      <c r="O680" s="181"/>
      <c r="P680" s="181"/>
      <c r="Q680" s="181"/>
      <c r="R680" s="181"/>
      <c r="S680" s="181"/>
      <c r="T680" s="181"/>
      <c r="U680" s="181"/>
      <c r="V680" s="181"/>
      <c r="W680" s="181"/>
      <c r="X680" s="181"/>
      <c r="Y680" s="181"/>
    </row>
    <row r="681" spans="1:25" ht="15.75" hidden="1" customHeight="1" x14ac:dyDescent="0.2">
      <c r="A681" s="181"/>
      <c r="B681" s="174"/>
      <c r="C681" s="175"/>
      <c r="D681" s="175"/>
      <c r="E681" s="175"/>
      <c r="F681" s="122"/>
      <c r="G681" s="122"/>
      <c r="H681" s="122"/>
      <c r="I681" s="122"/>
      <c r="J681" s="173"/>
      <c r="K681" s="181"/>
      <c r="L681" s="181"/>
      <c r="M681" s="181"/>
      <c r="N681" s="181"/>
      <c r="O681" s="181"/>
      <c r="P681" s="181"/>
      <c r="Q681" s="181"/>
      <c r="R681" s="181"/>
      <c r="S681" s="181"/>
      <c r="T681" s="181"/>
      <c r="U681" s="181"/>
      <c r="V681" s="181"/>
      <c r="W681" s="181"/>
      <c r="X681" s="181"/>
      <c r="Y681" s="181"/>
    </row>
    <row r="682" spans="1:25" ht="15.75" hidden="1" customHeight="1" x14ac:dyDescent="0.2">
      <c r="A682" s="181"/>
      <c r="B682" s="174"/>
      <c r="C682" s="175"/>
      <c r="D682" s="175"/>
      <c r="E682" s="175"/>
      <c r="F682" s="122"/>
      <c r="G682" s="122"/>
      <c r="H682" s="122"/>
      <c r="I682" s="122"/>
      <c r="J682" s="173"/>
      <c r="K682" s="181"/>
      <c r="L682" s="181"/>
      <c r="M682" s="181"/>
      <c r="N682" s="181"/>
      <c r="O682" s="181"/>
      <c r="P682" s="181"/>
      <c r="Q682" s="181"/>
      <c r="R682" s="181"/>
      <c r="S682" s="181"/>
      <c r="T682" s="181"/>
      <c r="U682" s="181"/>
      <c r="V682" s="181"/>
      <c r="W682" s="181"/>
      <c r="X682" s="181"/>
      <c r="Y682" s="181"/>
    </row>
    <row r="683" spans="1:25" ht="15.75" hidden="1" customHeight="1" x14ac:dyDescent="0.2">
      <c r="A683" s="181"/>
      <c r="B683" s="174"/>
      <c r="C683" s="175"/>
      <c r="D683" s="175"/>
      <c r="E683" s="175"/>
      <c r="F683" s="122"/>
      <c r="G683" s="122"/>
      <c r="H683" s="122"/>
      <c r="I683" s="122"/>
      <c r="J683" s="173"/>
      <c r="K683" s="181"/>
      <c r="L683" s="181"/>
      <c r="M683" s="181"/>
      <c r="N683" s="181"/>
      <c r="O683" s="181"/>
      <c r="P683" s="181"/>
      <c r="Q683" s="181"/>
      <c r="R683" s="181"/>
      <c r="S683" s="181"/>
      <c r="T683" s="181"/>
      <c r="U683" s="181"/>
      <c r="V683" s="181"/>
      <c r="W683" s="181"/>
      <c r="X683" s="181"/>
      <c r="Y683" s="181"/>
    </row>
    <row r="684" spans="1:25" ht="15.75" hidden="1" customHeight="1" x14ac:dyDescent="0.2">
      <c r="A684" s="181"/>
      <c r="B684" s="174"/>
      <c r="C684" s="175"/>
      <c r="D684" s="175"/>
      <c r="E684" s="175"/>
      <c r="F684" s="122"/>
      <c r="G684" s="122"/>
      <c r="H684" s="122"/>
      <c r="I684" s="122"/>
      <c r="J684" s="173"/>
      <c r="K684" s="181"/>
      <c r="L684" s="181"/>
      <c r="M684" s="181"/>
      <c r="N684" s="181"/>
      <c r="O684" s="181"/>
      <c r="P684" s="181"/>
      <c r="Q684" s="181"/>
      <c r="R684" s="181"/>
      <c r="S684" s="181"/>
      <c r="T684" s="181"/>
      <c r="U684" s="181"/>
      <c r="V684" s="181"/>
      <c r="W684" s="181"/>
      <c r="X684" s="181"/>
      <c r="Y684" s="181"/>
    </row>
    <row r="685" spans="1:25" ht="15.75" hidden="1" customHeight="1" x14ac:dyDescent="0.2">
      <c r="A685" s="181"/>
      <c r="B685" s="174"/>
      <c r="C685" s="175"/>
      <c r="D685" s="175"/>
      <c r="E685" s="175"/>
      <c r="F685" s="122"/>
      <c r="G685" s="122"/>
      <c r="H685" s="122"/>
      <c r="I685" s="122"/>
      <c r="J685" s="173"/>
      <c r="K685" s="181"/>
      <c r="L685" s="181"/>
      <c r="M685" s="181"/>
      <c r="N685" s="181"/>
      <c r="O685" s="181"/>
      <c r="P685" s="181"/>
      <c r="Q685" s="181"/>
      <c r="R685" s="181"/>
      <c r="S685" s="181"/>
      <c r="T685" s="181"/>
      <c r="U685" s="181"/>
      <c r="V685" s="181"/>
      <c r="W685" s="181"/>
      <c r="X685" s="181"/>
      <c r="Y685" s="181"/>
    </row>
    <row r="686" spans="1:25" ht="15.75" hidden="1" customHeight="1" x14ac:dyDescent="0.2">
      <c r="A686" s="181"/>
      <c r="B686" s="174"/>
      <c r="C686" s="175"/>
      <c r="D686" s="175"/>
      <c r="E686" s="175"/>
      <c r="F686" s="122"/>
      <c r="G686" s="122"/>
      <c r="H686" s="122"/>
      <c r="I686" s="122"/>
      <c r="J686" s="173"/>
      <c r="K686" s="181"/>
      <c r="L686" s="181"/>
      <c r="M686" s="181"/>
      <c r="N686" s="181"/>
      <c r="O686" s="181"/>
      <c r="P686" s="181"/>
      <c r="Q686" s="181"/>
      <c r="R686" s="181"/>
      <c r="S686" s="181"/>
      <c r="T686" s="181"/>
      <c r="U686" s="181"/>
      <c r="V686" s="181"/>
      <c r="W686" s="181"/>
      <c r="X686" s="181"/>
      <c r="Y686" s="181"/>
    </row>
    <row r="687" spans="1:25" ht="15.75" hidden="1" customHeight="1" x14ac:dyDescent="0.2">
      <c r="A687" s="181"/>
      <c r="B687" s="174"/>
      <c r="C687" s="175"/>
      <c r="D687" s="175"/>
      <c r="E687" s="175"/>
      <c r="F687" s="122"/>
      <c r="G687" s="122"/>
      <c r="H687" s="122"/>
      <c r="I687" s="122"/>
      <c r="J687" s="173"/>
      <c r="K687" s="181"/>
      <c r="L687" s="181"/>
      <c r="M687" s="181"/>
      <c r="N687" s="181"/>
      <c r="O687" s="181"/>
      <c r="P687" s="181"/>
      <c r="Q687" s="181"/>
      <c r="R687" s="181"/>
      <c r="S687" s="181"/>
      <c r="T687" s="181"/>
      <c r="U687" s="181"/>
      <c r="V687" s="181"/>
      <c r="W687" s="181"/>
      <c r="X687" s="181"/>
      <c r="Y687" s="181"/>
    </row>
    <row r="688" spans="1:25" ht="15.75" hidden="1" customHeight="1" x14ac:dyDescent="0.2">
      <c r="A688" s="181"/>
      <c r="B688" s="174"/>
      <c r="C688" s="175"/>
      <c r="D688" s="175"/>
      <c r="E688" s="175"/>
      <c r="F688" s="122"/>
      <c r="G688" s="122"/>
      <c r="H688" s="122"/>
      <c r="I688" s="122"/>
      <c r="J688" s="173"/>
      <c r="K688" s="181"/>
      <c r="L688" s="181"/>
      <c r="M688" s="181"/>
      <c r="N688" s="181"/>
      <c r="O688" s="181"/>
      <c r="P688" s="181"/>
      <c r="Q688" s="181"/>
      <c r="R688" s="181"/>
      <c r="S688" s="181"/>
      <c r="T688" s="181"/>
      <c r="U688" s="181"/>
      <c r="V688" s="181"/>
      <c r="W688" s="181"/>
      <c r="X688" s="181"/>
      <c r="Y688" s="181"/>
    </row>
    <row r="689" spans="1:25" ht="15.75" hidden="1" customHeight="1" x14ac:dyDescent="0.2">
      <c r="A689" s="181"/>
      <c r="B689" s="174"/>
      <c r="C689" s="175"/>
      <c r="D689" s="175"/>
      <c r="E689" s="175"/>
      <c r="F689" s="122"/>
      <c r="G689" s="122"/>
      <c r="H689" s="122"/>
      <c r="I689" s="122"/>
      <c r="J689" s="173"/>
      <c r="K689" s="181"/>
      <c r="L689" s="181"/>
      <c r="M689" s="181"/>
      <c r="N689" s="181"/>
      <c r="O689" s="181"/>
      <c r="P689" s="181"/>
      <c r="Q689" s="181"/>
      <c r="R689" s="181"/>
      <c r="S689" s="181"/>
      <c r="T689" s="181"/>
      <c r="U689" s="181"/>
      <c r="V689" s="181"/>
      <c r="W689" s="181"/>
      <c r="X689" s="181"/>
      <c r="Y689" s="181"/>
    </row>
    <row r="690" spans="1:25" ht="15.75" hidden="1" customHeight="1" x14ac:dyDescent="0.2">
      <c r="A690" s="181"/>
      <c r="B690" s="174"/>
      <c r="C690" s="175"/>
      <c r="D690" s="175"/>
      <c r="E690" s="175"/>
      <c r="F690" s="122"/>
      <c r="G690" s="122"/>
      <c r="H690" s="122"/>
      <c r="I690" s="122"/>
      <c r="J690" s="173"/>
      <c r="K690" s="181"/>
      <c r="L690" s="181"/>
      <c r="M690" s="181"/>
      <c r="N690" s="181"/>
      <c r="O690" s="181"/>
      <c r="P690" s="181"/>
      <c r="Q690" s="181"/>
      <c r="R690" s="181"/>
      <c r="S690" s="181"/>
      <c r="T690" s="181"/>
      <c r="U690" s="181"/>
      <c r="V690" s="181"/>
      <c r="W690" s="181"/>
      <c r="X690" s="181"/>
      <c r="Y690" s="181"/>
    </row>
    <row r="691" spans="1:25" ht="15.75" hidden="1" customHeight="1" x14ac:dyDescent="0.2">
      <c r="A691" s="181"/>
      <c r="B691" s="174"/>
      <c r="C691" s="175"/>
      <c r="D691" s="175"/>
      <c r="E691" s="175"/>
      <c r="F691" s="122"/>
      <c r="G691" s="122"/>
      <c r="H691" s="122"/>
      <c r="I691" s="122"/>
      <c r="J691" s="173"/>
      <c r="K691" s="181"/>
      <c r="L691" s="181"/>
      <c r="M691" s="181"/>
      <c r="N691" s="181"/>
      <c r="O691" s="181"/>
      <c r="P691" s="181"/>
      <c r="Q691" s="181"/>
      <c r="R691" s="181"/>
      <c r="S691" s="181"/>
      <c r="T691" s="181"/>
      <c r="U691" s="181"/>
      <c r="V691" s="181"/>
      <c r="W691" s="181"/>
      <c r="X691" s="181"/>
      <c r="Y691" s="181"/>
    </row>
    <row r="692" spans="1:25" ht="15.75" hidden="1" customHeight="1" x14ac:dyDescent="0.2">
      <c r="A692" s="181"/>
      <c r="B692" s="174"/>
      <c r="C692" s="175"/>
      <c r="D692" s="175"/>
      <c r="E692" s="175"/>
      <c r="F692" s="122"/>
      <c r="G692" s="122"/>
      <c r="H692" s="122"/>
      <c r="I692" s="122"/>
      <c r="J692" s="173"/>
      <c r="K692" s="181"/>
      <c r="L692" s="181"/>
      <c r="M692" s="181"/>
      <c r="N692" s="181"/>
      <c r="O692" s="181"/>
      <c r="P692" s="181"/>
      <c r="Q692" s="181"/>
      <c r="R692" s="181"/>
      <c r="S692" s="181"/>
      <c r="T692" s="181"/>
      <c r="U692" s="181"/>
      <c r="V692" s="181"/>
      <c r="W692" s="181"/>
      <c r="X692" s="181"/>
      <c r="Y692" s="181"/>
    </row>
    <row r="693" spans="1:25" ht="15.75" hidden="1" customHeight="1" x14ac:dyDescent="0.2">
      <c r="A693" s="181"/>
      <c r="B693" s="174"/>
      <c r="C693" s="175"/>
      <c r="D693" s="175"/>
      <c r="E693" s="175"/>
      <c r="F693" s="122"/>
      <c r="G693" s="122"/>
      <c r="H693" s="122"/>
      <c r="I693" s="122"/>
      <c r="J693" s="173"/>
      <c r="K693" s="181"/>
      <c r="L693" s="181"/>
      <c r="M693" s="181"/>
      <c r="N693" s="181"/>
      <c r="O693" s="181"/>
      <c r="P693" s="181"/>
      <c r="Q693" s="181"/>
      <c r="R693" s="181"/>
      <c r="S693" s="181"/>
      <c r="T693" s="181"/>
      <c r="U693" s="181"/>
      <c r="V693" s="181"/>
      <c r="W693" s="181"/>
      <c r="X693" s="181"/>
      <c r="Y693" s="181"/>
    </row>
    <row r="694" spans="1:25" ht="15.75" hidden="1" customHeight="1" x14ac:dyDescent="0.2">
      <c r="A694" s="181"/>
      <c r="B694" s="174"/>
      <c r="C694" s="175"/>
      <c r="D694" s="175"/>
      <c r="E694" s="175"/>
      <c r="F694" s="122"/>
      <c r="G694" s="122"/>
      <c r="H694" s="122"/>
      <c r="I694" s="122"/>
      <c r="J694" s="173"/>
      <c r="K694" s="181"/>
      <c r="L694" s="181"/>
      <c r="M694" s="181"/>
      <c r="N694" s="181"/>
      <c r="O694" s="181"/>
      <c r="P694" s="181"/>
      <c r="Q694" s="181"/>
      <c r="R694" s="181"/>
      <c r="S694" s="181"/>
      <c r="T694" s="181"/>
      <c r="U694" s="181"/>
      <c r="V694" s="181"/>
      <c r="W694" s="181"/>
      <c r="X694" s="181"/>
      <c r="Y694" s="181"/>
    </row>
    <row r="695" spans="1:25" ht="15.75" hidden="1" customHeight="1" x14ac:dyDescent="0.2">
      <c r="A695" s="181"/>
      <c r="B695" s="174"/>
      <c r="C695" s="175"/>
      <c r="D695" s="175"/>
      <c r="E695" s="175"/>
      <c r="F695" s="122"/>
      <c r="G695" s="122"/>
      <c r="H695" s="122"/>
      <c r="I695" s="122"/>
      <c r="J695" s="173"/>
      <c r="K695" s="181"/>
      <c r="L695" s="181"/>
      <c r="M695" s="181"/>
      <c r="N695" s="181"/>
      <c r="O695" s="181"/>
      <c r="P695" s="181"/>
      <c r="Q695" s="181"/>
      <c r="R695" s="181"/>
      <c r="S695" s="181"/>
      <c r="T695" s="181"/>
      <c r="U695" s="181"/>
      <c r="V695" s="181"/>
      <c r="W695" s="181"/>
      <c r="X695" s="181"/>
      <c r="Y695" s="181"/>
    </row>
    <row r="696" spans="1:25" ht="15.75" hidden="1" customHeight="1" x14ac:dyDescent="0.2">
      <c r="A696" s="181"/>
      <c r="B696" s="174"/>
      <c r="C696" s="175"/>
      <c r="D696" s="175"/>
      <c r="E696" s="175"/>
      <c r="F696" s="122"/>
      <c r="G696" s="122"/>
      <c r="H696" s="122"/>
      <c r="I696" s="122"/>
      <c r="J696" s="173"/>
      <c r="K696" s="181"/>
      <c r="L696" s="181"/>
      <c r="M696" s="181"/>
      <c r="N696" s="181"/>
      <c r="O696" s="181"/>
      <c r="P696" s="181"/>
      <c r="Q696" s="181"/>
      <c r="R696" s="181"/>
      <c r="S696" s="181"/>
      <c r="T696" s="181"/>
      <c r="U696" s="181"/>
      <c r="V696" s="181"/>
      <c r="W696" s="181"/>
      <c r="X696" s="181"/>
      <c r="Y696" s="181"/>
    </row>
    <row r="697" spans="1:25" ht="15.75" hidden="1" customHeight="1" x14ac:dyDescent="0.2">
      <c r="A697" s="181"/>
      <c r="B697" s="174"/>
      <c r="C697" s="175"/>
      <c r="D697" s="175"/>
      <c r="E697" s="175"/>
      <c r="F697" s="122"/>
      <c r="G697" s="122"/>
      <c r="H697" s="122"/>
      <c r="I697" s="122"/>
      <c r="J697" s="173"/>
      <c r="K697" s="181"/>
      <c r="L697" s="181"/>
      <c r="M697" s="181"/>
      <c r="N697" s="181"/>
      <c r="O697" s="181"/>
      <c r="P697" s="181"/>
      <c r="Q697" s="181"/>
      <c r="R697" s="181"/>
      <c r="S697" s="181"/>
      <c r="T697" s="181"/>
      <c r="U697" s="181"/>
      <c r="V697" s="181"/>
      <c r="W697" s="181"/>
      <c r="X697" s="181"/>
      <c r="Y697" s="181"/>
    </row>
    <row r="698" spans="1:25" ht="15.75" hidden="1" customHeight="1" x14ac:dyDescent="0.2">
      <c r="A698" s="181"/>
      <c r="B698" s="174"/>
      <c r="C698" s="175"/>
      <c r="D698" s="175"/>
      <c r="E698" s="175"/>
      <c r="F698" s="122"/>
      <c r="G698" s="122"/>
      <c r="H698" s="122"/>
      <c r="I698" s="122"/>
      <c r="J698" s="173"/>
      <c r="K698" s="181"/>
      <c r="L698" s="181"/>
      <c r="M698" s="181"/>
      <c r="N698" s="181"/>
      <c r="O698" s="181"/>
      <c r="P698" s="181"/>
      <c r="Q698" s="181"/>
      <c r="R698" s="181"/>
      <c r="S698" s="181"/>
      <c r="T698" s="181"/>
      <c r="U698" s="181"/>
      <c r="V698" s="181"/>
      <c r="W698" s="181"/>
      <c r="X698" s="181"/>
      <c r="Y698" s="181"/>
    </row>
    <row r="699" spans="1:25" ht="15.75" hidden="1" customHeight="1" x14ac:dyDescent="0.2">
      <c r="A699" s="181"/>
      <c r="B699" s="174"/>
      <c r="C699" s="175"/>
      <c r="D699" s="175"/>
      <c r="E699" s="175"/>
      <c r="F699" s="122"/>
      <c r="G699" s="122"/>
      <c r="H699" s="122"/>
      <c r="I699" s="122"/>
      <c r="J699" s="173"/>
      <c r="K699" s="181"/>
      <c r="L699" s="181"/>
      <c r="M699" s="181"/>
      <c r="N699" s="181"/>
      <c r="O699" s="181"/>
      <c r="P699" s="181"/>
      <c r="Q699" s="181"/>
      <c r="R699" s="181"/>
      <c r="S699" s="181"/>
      <c r="T699" s="181"/>
      <c r="U699" s="181"/>
      <c r="V699" s="181"/>
      <c r="W699" s="181"/>
      <c r="X699" s="181"/>
      <c r="Y699" s="181"/>
    </row>
    <row r="700" spans="1:25" ht="15.75" hidden="1" customHeight="1" x14ac:dyDescent="0.2">
      <c r="A700" s="181"/>
      <c r="B700" s="174"/>
      <c r="C700" s="175"/>
      <c r="D700" s="175"/>
      <c r="E700" s="175"/>
      <c r="F700" s="122"/>
      <c r="G700" s="122"/>
      <c r="H700" s="122"/>
      <c r="I700" s="122"/>
      <c r="J700" s="173"/>
      <c r="K700" s="181"/>
      <c r="L700" s="181"/>
      <c r="M700" s="181"/>
      <c r="N700" s="181"/>
      <c r="O700" s="181"/>
      <c r="P700" s="181"/>
      <c r="Q700" s="181"/>
      <c r="R700" s="181"/>
      <c r="S700" s="181"/>
      <c r="T700" s="181"/>
      <c r="U700" s="181"/>
      <c r="V700" s="181"/>
      <c r="W700" s="181"/>
      <c r="X700" s="181"/>
      <c r="Y700" s="181"/>
    </row>
    <row r="701" spans="1:25" ht="15.75" hidden="1" customHeight="1" x14ac:dyDescent="0.2">
      <c r="A701" s="181"/>
      <c r="B701" s="174"/>
      <c r="C701" s="175"/>
      <c r="D701" s="175"/>
      <c r="E701" s="175"/>
      <c r="F701" s="122"/>
      <c r="G701" s="122"/>
      <c r="H701" s="122"/>
      <c r="I701" s="122"/>
      <c r="J701" s="173"/>
      <c r="K701" s="181"/>
      <c r="L701" s="181"/>
      <c r="M701" s="181"/>
      <c r="N701" s="181"/>
      <c r="O701" s="181"/>
      <c r="P701" s="181"/>
      <c r="Q701" s="181"/>
      <c r="R701" s="181"/>
      <c r="S701" s="181"/>
      <c r="T701" s="181"/>
      <c r="U701" s="181"/>
      <c r="V701" s="181"/>
      <c r="W701" s="181"/>
      <c r="X701" s="181"/>
      <c r="Y701" s="181"/>
    </row>
    <row r="702" spans="1:25" ht="15.75" hidden="1" customHeight="1" x14ac:dyDescent="0.2">
      <c r="A702" s="181"/>
      <c r="B702" s="174"/>
      <c r="C702" s="175"/>
      <c r="D702" s="175"/>
      <c r="E702" s="175"/>
      <c r="F702" s="122"/>
      <c r="G702" s="122"/>
      <c r="H702" s="122"/>
      <c r="I702" s="122"/>
      <c r="J702" s="173"/>
      <c r="K702" s="181"/>
      <c r="L702" s="181"/>
      <c r="M702" s="181"/>
      <c r="N702" s="181"/>
      <c r="O702" s="181"/>
      <c r="P702" s="181"/>
      <c r="Q702" s="181"/>
      <c r="R702" s="181"/>
      <c r="S702" s="181"/>
      <c r="T702" s="181"/>
      <c r="U702" s="181"/>
      <c r="V702" s="181"/>
      <c r="W702" s="181"/>
      <c r="X702" s="181"/>
      <c r="Y702" s="181"/>
    </row>
    <row r="703" spans="1:25" ht="15.75" hidden="1" customHeight="1" x14ac:dyDescent="0.2">
      <c r="A703" s="181"/>
      <c r="B703" s="174"/>
      <c r="C703" s="175"/>
      <c r="D703" s="175"/>
      <c r="E703" s="175"/>
      <c r="F703" s="122"/>
      <c r="G703" s="122"/>
      <c r="H703" s="122"/>
      <c r="I703" s="122"/>
      <c r="J703" s="173"/>
      <c r="K703" s="181"/>
      <c r="L703" s="181"/>
      <c r="M703" s="181"/>
      <c r="N703" s="181"/>
      <c r="O703" s="181"/>
      <c r="P703" s="181"/>
      <c r="Q703" s="181"/>
      <c r="R703" s="181"/>
      <c r="S703" s="181"/>
      <c r="T703" s="181"/>
      <c r="U703" s="181"/>
      <c r="V703" s="181"/>
      <c r="W703" s="181"/>
      <c r="X703" s="181"/>
      <c r="Y703" s="181"/>
    </row>
    <row r="704" spans="1:25" ht="15.75" hidden="1" customHeight="1" x14ac:dyDescent="0.2">
      <c r="A704" s="181"/>
      <c r="B704" s="174"/>
      <c r="C704" s="175"/>
      <c r="D704" s="175"/>
      <c r="E704" s="175"/>
      <c r="F704" s="122"/>
      <c r="G704" s="122"/>
      <c r="H704" s="122"/>
      <c r="I704" s="122"/>
      <c r="J704" s="173"/>
      <c r="K704" s="181"/>
      <c r="L704" s="181"/>
      <c r="M704" s="181"/>
      <c r="N704" s="181"/>
      <c r="O704" s="181"/>
      <c r="P704" s="181"/>
      <c r="Q704" s="181"/>
      <c r="R704" s="181"/>
      <c r="S704" s="181"/>
      <c r="T704" s="181"/>
      <c r="U704" s="181"/>
      <c r="V704" s="181"/>
      <c r="W704" s="181"/>
      <c r="X704" s="181"/>
      <c r="Y704" s="181"/>
    </row>
    <row r="705" spans="1:25" ht="15.75" hidden="1" customHeight="1" x14ac:dyDescent="0.2">
      <c r="A705" s="181"/>
      <c r="B705" s="174"/>
      <c r="C705" s="175"/>
      <c r="D705" s="175"/>
      <c r="E705" s="175"/>
      <c r="F705" s="122"/>
      <c r="G705" s="122"/>
      <c r="H705" s="122"/>
      <c r="I705" s="122"/>
      <c r="J705" s="173"/>
      <c r="K705" s="181"/>
      <c r="L705" s="181"/>
      <c r="M705" s="181"/>
      <c r="N705" s="181"/>
      <c r="O705" s="181"/>
      <c r="P705" s="181"/>
      <c r="Q705" s="181"/>
      <c r="R705" s="181"/>
      <c r="S705" s="181"/>
      <c r="T705" s="181"/>
      <c r="U705" s="181"/>
      <c r="V705" s="181"/>
      <c r="W705" s="181"/>
      <c r="X705" s="181"/>
      <c r="Y705" s="181"/>
    </row>
    <row r="706" spans="1:25" ht="15.75" hidden="1" customHeight="1" x14ac:dyDescent="0.2">
      <c r="A706" s="181"/>
      <c r="B706" s="174"/>
      <c r="C706" s="175"/>
      <c r="D706" s="175"/>
      <c r="E706" s="175"/>
      <c r="F706" s="122"/>
      <c r="G706" s="122"/>
      <c r="H706" s="122"/>
      <c r="I706" s="122"/>
      <c r="J706" s="173"/>
      <c r="K706" s="181"/>
      <c r="L706" s="181"/>
      <c r="M706" s="181"/>
      <c r="N706" s="181"/>
      <c r="O706" s="181"/>
      <c r="P706" s="181"/>
      <c r="Q706" s="181"/>
      <c r="R706" s="181"/>
      <c r="S706" s="181"/>
      <c r="T706" s="181"/>
      <c r="U706" s="181"/>
      <c r="V706" s="181"/>
      <c r="W706" s="181"/>
      <c r="X706" s="181"/>
      <c r="Y706" s="181"/>
    </row>
    <row r="707" spans="1:25" ht="15.75" hidden="1" customHeight="1" x14ac:dyDescent="0.2">
      <c r="A707" s="181"/>
      <c r="B707" s="174"/>
      <c r="C707" s="175"/>
      <c r="D707" s="175"/>
      <c r="E707" s="175"/>
      <c r="F707" s="122"/>
      <c r="G707" s="122"/>
      <c r="H707" s="122"/>
      <c r="I707" s="122"/>
      <c r="J707" s="173"/>
      <c r="K707" s="181"/>
      <c r="L707" s="181"/>
      <c r="M707" s="181"/>
      <c r="N707" s="181"/>
      <c r="O707" s="181"/>
      <c r="P707" s="181"/>
      <c r="Q707" s="181"/>
      <c r="R707" s="181"/>
      <c r="S707" s="181"/>
      <c r="T707" s="181"/>
      <c r="U707" s="181"/>
      <c r="V707" s="181"/>
      <c r="W707" s="181"/>
      <c r="X707" s="181"/>
      <c r="Y707" s="181"/>
    </row>
    <row r="708" spans="1:25" ht="15.75" hidden="1" customHeight="1" x14ac:dyDescent="0.2">
      <c r="A708" s="181"/>
      <c r="B708" s="174"/>
      <c r="C708" s="175"/>
      <c r="D708" s="175"/>
      <c r="E708" s="175"/>
      <c r="F708" s="122"/>
      <c r="G708" s="122"/>
      <c r="H708" s="122"/>
      <c r="I708" s="122"/>
      <c r="J708" s="173"/>
      <c r="K708" s="181"/>
      <c r="L708" s="181"/>
      <c r="M708" s="181"/>
      <c r="N708" s="181"/>
      <c r="O708" s="181"/>
      <c r="P708" s="181"/>
      <c r="Q708" s="181"/>
      <c r="R708" s="181"/>
      <c r="S708" s="181"/>
      <c r="T708" s="181"/>
      <c r="U708" s="181"/>
      <c r="V708" s="181"/>
      <c r="W708" s="181"/>
      <c r="X708" s="181"/>
      <c r="Y708" s="181"/>
    </row>
    <row r="709" spans="1:25" ht="15.75" hidden="1" customHeight="1" x14ac:dyDescent="0.2">
      <c r="A709" s="181"/>
      <c r="B709" s="174"/>
      <c r="C709" s="175"/>
      <c r="D709" s="175"/>
      <c r="E709" s="175"/>
      <c r="F709" s="122"/>
      <c r="G709" s="122"/>
      <c r="H709" s="122"/>
      <c r="I709" s="122"/>
      <c r="J709" s="173"/>
      <c r="K709" s="181"/>
      <c r="L709" s="181"/>
      <c r="M709" s="181"/>
      <c r="N709" s="181"/>
      <c r="O709" s="181"/>
      <c r="P709" s="181"/>
      <c r="Q709" s="181"/>
      <c r="R709" s="181"/>
      <c r="S709" s="181"/>
      <c r="T709" s="181"/>
      <c r="U709" s="181"/>
      <c r="V709" s="181"/>
      <c r="W709" s="181"/>
      <c r="X709" s="181"/>
      <c r="Y709" s="181"/>
    </row>
    <row r="710" spans="1:25" ht="15.75" hidden="1" customHeight="1" x14ac:dyDescent="0.2">
      <c r="A710" s="181"/>
      <c r="B710" s="174"/>
      <c r="C710" s="175"/>
      <c r="D710" s="175"/>
      <c r="E710" s="175"/>
      <c r="F710" s="122"/>
      <c r="G710" s="122"/>
      <c r="H710" s="122"/>
      <c r="I710" s="122"/>
      <c r="J710" s="173"/>
      <c r="K710" s="181"/>
      <c r="L710" s="181"/>
      <c r="M710" s="181"/>
      <c r="N710" s="181"/>
      <c r="O710" s="181"/>
      <c r="P710" s="181"/>
      <c r="Q710" s="181"/>
      <c r="R710" s="181"/>
      <c r="S710" s="181"/>
      <c r="T710" s="181"/>
      <c r="U710" s="181"/>
      <c r="V710" s="181"/>
      <c r="W710" s="181"/>
      <c r="X710" s="181"/>
      <c r="Y710" s="181"/>
    </row>
    <row r="711" spans="1:25" ht="15.75" hidden="1" customHeight="1" x14ac:dyDescent="0.2">
      <c r="A711" s="181"/>
      <c r="B711" s="174"/>
      <c r="C711" s="175"/>
      <c r="D711" s="175"/>
      <c r="E711" s="175"/>
      <c r="F711" s="122"/>
      <c r="G711" s="122"/>
      <c r="H711" s="122"/>
      <c r="I711" s="122"/>
      <c r="J711" s="173"/>
      <c r="K711" s="181"/>
      <c r="L711" s="181"/>
      <c r="M711" s="181"/>
      <c r="N711" s="181"/>
      <c r="O711" s="181"/>
      <c r="P711" s="181"/>
      <c r="Q711" s="181"/>
      <c r="R711" s="181"/>
      <c r="S711" s="181"/>
      <c r="T711" s="181"/>
      <c r="U711" s="181"/>
      <c r="V711" s="181"/>
      <c r="W711" s="181"/>
      <c r="X711" s="181"/>
      <c r="Y711" s="181"/>
    </row>
    <row r="712" spans="1:25" ht="15.75" hidden="1" customHeight="1" x14ac:dyDescent="0.2">
      <c r="A712" s="181"/>
      <c r="B712" s="174"/>
      <c r="C712" s="175"/>
      <c r="D712" s="175"/>
      <c r="E712" s="175"/>
      <c r="F712" s="122"/>
      <c r="G712" s="122"/>
      <c r="H712" s="122"/>
      <c r="I712" s="122"/>
      <c r="J712" s="173"/>
      <c r="K712" s="181"/>
      <c r="L712" s="181"/>
      <c r="M712" s="181"/>
      <c r="N712" s="181"/>
      <c r="O712" s="181"/>
      <c r="P712" s="181"/>
      <c r="Q712" s="181"/>
      <c r="R712" s="181"/>
      <c r="S712" s="181"/>
      <c r="T712" s="181"/>
      <c r="U712" s="181"/>
      <c r="V712" s="181"/>
      <c r="W712" s="181"/>
      <c r="X712" s="181"/>
      <c r="Y712" s="181"/>
    </row>
    <row r="713" spans="1:25" ht="15.75" hidden="1" customHeight="1" x14ac:dyDescent="0.2">
      <c r="A713" s="181"/>
      <c r="B713" s="174"/>
      <c r="C713" s="175"/>
      <c r="D713" s="175"/>
      <c r="E713" s="175"/>
      <c r="F713" s="122"/>
      <c r="G713" s="122"/>
      <c r="H713" s="122"/>
      <c r="I713" s="122"/>
      <c r="J713" s="173"/>
      <c r="K713" s="181"/>
      <c r="L713" s="181"/>
      <c r="M713" s="181"/>
      <c r="N713" s="181"/>
      <c r="O713" s="181"/>
      <c r="P713" s="181"/>
      <c r="Q713" s="181"/>
      <c r="R713" s="181"/>
      <c r="S713" s="181"/>
      <c r="T713" s="181"/>
      <c r="U713" s="181"/>
      <c r="V713" s="181"/>
      <c r="W713" s="181"/>
      <c r="X713" s="181"/>
      <c r="Y713" s="181"/>
    </row>
    <row r="714" spans="1:25" ht="15.75" hidden="1" customHeight="1" x14ac:dyDescent="0.2">
      <c r="A714" s="181"/>
      <c r="B714" s="174"/>
      <c r="C714" s="175"/>
      <c r="D714" s="175"/>
      <c r="E714" s="175"/>
      <c r="F714" s="122"/>
      <c r="G714" s="122"/>
      <c r="H714" s="122"/>
      <c r="I714" s="122"/>
      <c r="J714" s="173"/>
      <c r="K714" s="181"/>
      <c r="L714" s="181"/>
      <c r="M714" s="181"/>
      <c r="N714" s="181"/>
      <c r="O714" s="181"/>
      <c r="P714" s="181"/>
      <c r="Q714" s="181"/>
      <c r="R714" s="181"/>
      <c r="S714" s="181"/>
      <c r="T714" s="181"/>
      <c r="U714" s="181"/>
      <c r="V714" s="181"/>
      <c r="W714" s="181"/>
      <c r="X714" s="181"/>
      <c r="Y714" s="181"/>
    </row>
    <row r="715" spans="1:25" ht="15.75" hidden="1" customHeight="1" x14ac:dyDescent="0.2">
      <c r="A715" s="181"/>
      <c r="B715" s="174"/>
      <c r="C715" s="175"/>
      <c r="D715" s="175"/>
      <c r="E715" s="175"/>
      <c r="F715" s="122"/>
      <c r="G715" s="122"/>
      <c r="H715" s="122"/>
      <c r="I715" s="122"/>
      <c r="J715" s="173"/>
      <c r="K715" s="181"/>
      <c r="L715" s="181"/>
      <c r="M715" s="181"/>
      <c r="N715" s="181"/>
      <c r="O715" s="181"/>
      <c r="P715" s="181"/>
      <c r="Q715" s="181"/>
      <c r="R715" s="181"/>
      <c r="S715" s="181"/>
      <c r="T715" s="181"/>
      <c r="U715" s="181"/>
      <c r="V715" s="181"/>
      <c r="W715" s="181"/>
      <c r="X715" s="181"/>
      <c r="Y715" s="181"/>
    </row>
    <row r="716" spans="1:25" ht="15.75" hidden="1" customHeight="1" x14ac:dyDescent="0.2">
      <c r="A716" s="181"/>
      <c r="B716" s="174"/>
      <c r="C716" s="175"/>
      <c r="D716" s="175"/>
      <c r="E716" s="175"/>
      <c r="F716" s="122"/>
      <c r="G716" s="122"/>
      <c r="H716" s="122"/>
      <c r="I716" s="122"/>
      <c r="J716" s="173"/>
      <c r="K716" s="181"/>
      <c r="L716" s="181"/>
      <c r="M716" s="181"/>
      <c r="N716" s="181"/>
      <c r="O716" s="181"/>
      <c r="P716" s="181"/>
      <c r="Q716" s="181"/>
      <c r="R716" s="181"/>
      <c r="S716" s="181"/>
      <c r="T716" s="181"/>
      <c r="U716" s="181"/>
      <c r="V716" s="181"/>
      <c r="W716" s="181"/>
      <c r="X716" s="181"/>
      <c r="Y716" s="181"/>
    </row>
    <row r="717" spans="1:25" ht="15.75" hidden="1" customHeight="1" x14ac:dyDescent="0.2">
      <c r="A717" s="181"/>
      <c r="B717" s="174"/>
      <c r="C717" s="175"/>
      <c r="D717" s="175"/>
      <c r="E717" s="175"/>
      <c r="F717" s="122"/>
      <c r="G717" s="122"/>
      <c r="H717" s="122"/>
      <c r="I717" s="122"/>
      <c r="J717" s="173"/>
      <c r="K717" s="181"/>
      <c r="L717" s="181"/>
      <c r="M717" s="181"/>
      <c r="N717" s="181"/>
      <c r="O717" s="181"/>
      <c r="P717" s="181"/>
      <c r="Q717" s="181"/>
      <c r="R717" s="181"/>
      <c r="S717" s="181"/>
      <c r="T717" s="181"/>
      <c r="U717" s="181"/>
      <c r="V717" s="181"/>
      <c r="W717" s="181"/>
      <c r="X717" s="181"/>
      <c r="Y717" s="181"/>
    </row>
    <row r="718" spans="1:25" ht="15.75" hidden="1" customHeight="1" x14ac:dyDescent="0.2">
      <c r="A718" s="181"/>
      <c r="B718" s="174"/>
      <c r="C718" s="175"/>
      <c r="D718" s="175"/>
      <c r="E718" s="175"/>
      <c r="F718" s="122"/>
      <c r="G718" s="122"/>
      <c r="H718" s="122"/>
      <c r="I718" s="122"/>
      <c r="J718" s="173"/>
      <c r="K718" s="181"/>
      <c r="L718" s="181"/>
      <c r="M718" s="181"/>
      <c r="N718" s="181"/>
      <c r="O718" s="181"/>
      <c r="P718" s="181"/>
      <c r="Q718" s="181"/>
      <c r="R718" s="181"/>
      <c r="S718" s="181"/>
      <c r="T718" s="181"/>
      <c r="U718" s="181"/>
      <c r="V718" s="181"/>
      <c r="W718" s="181"/>
      <c r="X718" s="181"/>
      <c r="Y718" s="181"/>
    </row>
    <row r="719" spans="1:25" ht="15.75" hidden="1" customHeight="1" x14ac:dyDescent="0.2">
      <c r="A719" s="181"/>
      <c r="B719" s="174"/>
      <c r="C719" s="175"/>
      <c r="D719" s="175"/>
      <c r="E719" s="175"/>
      <c r="F719" s="122"/>
      <c r="G719" s="122"/>
      <c r="H719" s="122"/>
      <c r="I719" s="122"/>
      <c r="J719" s="173"/>
      <c r="K719" s="181"/>
      <c r="L719" s="181"/>
      <c r="M719" s="181"/>
      <c r="N719" s="181"/>
      <c r="O719" s="181"/>
      <c r="P719" s="181"/>
      <c r="Q719" s="181"/>
      <c r="R719" s="181"/>
      <c r="S719" s="181"/>
      <c r="T719" s="181"/>
      <c r="U719" s="181"/>
      <c r="V719" s="181"/>
      <c r="W719" s="181"/>
      <c r="X719" s="181"/>
      <c r="Y719" s="181"/>
    </row>
    <row r="720" spans="1:25" ht="15.75" hidden="1" customHeight="1" x14ac:dyDescent="0.2">
      <c r="A720" s="181"/>
      <c r="B720" s="174"/>
      <c r="C720" s="175"/>
      <c r="D720" s="175"/>
      <c r="E720" s="175"/>
      <c r="F720" s="122"/>
      <c r="G720" s="122"/>
      <c r="H720" s="122"/>
      <c r="I720" s="122"/>
      <c r="J720" s="173"/>
      <c r="K720" s="181"/>
      <c r="L720" s="181"/>
      <c r="M720" s="181"/>
      <c r="N720" s="181"/>
      <c r="O720" s="181"/>
      <c r="P720" s="181"/>
      <c r="Q720" s="181"/>
      <c r="R720" s="181"/>
      <c r="S720" s="181"/>
      <c r="T720" s="181"/>
      <c r="U720" s="181"/>
      <c r="V720" s="181"/>
      <c r="W720" s="181"/>
      <c r="X720" s="181"/>
      <c r="Y720" s="181"/>
    </row>
    <row r="721" spans="1:25" ht="15.75" hidden="1" customHeight="1" x14ac:dyDescent="0.2">
      <c r="A721" s="181"/>
      <c r="B721" s="174"/>
      <c r="C721" s="175"/>
      <c r="D721" s="175"/>
      <c r="E721" s="175"/>
      <c r="F721" s="122"/>
      <c r="G721" s="122"/>
      <c r="H721" s="122"/>
      <c r="I721" s="122"/>
      <c r="J721" s="173"/>
      <c r="K721" s="181"/>
      <c r="L721" s="181"/>
      <c r="M721" s="181"/>
      <c r="N721" s="181"/>
      <c r="O721" s="181"/>
      <c r="P721" s="181"/>
      <c r="Q721" s="181"/>
      <c r="R721" s="181"/>
      <c r="S721" s="181"/>
      <c r="T721" s="181"/>
      <c r="U721" s="181"/>
      <c r="V721" s="181"/>
      <c r="W721" s="181"/>
      <c r="X721" s="181"/>
      <c r="Y721" s="181"/>
    </row>
    <row r="722" spans="1:25" ht="15.75" hidden="1" customHeight="1" x14ac:dyDescent="0.2">
      <c r="A722" s="181"/>
      <c r="B722" s="174"/>
      <c r="C722" s="175"/>
      <c r="D722" s="175"/>
      <c r="E722" s="175"/>
      <c r="F722" s="122"/>
      <c r="G722" s="122"/>
      <c r="H722" s="122"/>
      <c r="I722" s="122"/>
      <c r="J722" s="173"/>
      <c r="K722" s="181"/>
      <c r="L722" s="181"/>
      <c r="M722" s="181"/>
      <c r="N722" s="181"/>
      <c r="O722" s="181"/>
      <c r="P722" s="181"/>
      <c r="Q722" s="181"/>
      <c r="R722" s="181"/>
      <c r="S722" s="181"/>
      <c r="T722" s="181"/>
      <c r="U722" s="181"/>
      <c r="V722" s="181"/>
      <c r="W722" s="181"/>
      <c r="X722" s="181"/>
      <c r="Y722" s="181"/>
    </row>
    <row r="723" spans="1:25" ht="15.75" hidden="1" customHeight="1" x14ac:dyDescent="0.2">
      <c r="A723" s="181"/>
      <c r="B723" s="174"/>
      <c r="C723" s="175"/>
      <c r="D723" s="175"/>
      <c r="E723" s="175"/>
      <c r="F723" s="122"/>
      <c r="G723" s="122"/>
      <c r="H723" s="122"/>
      <c r="I723" s="122"/>
      <c r="J723" s="173"/>
      <c r="K723" s="181"/>
      <c r="L723" s="181"/>
      <c r="M723" s="181"/>
      <c r="N723" s="181"/>
      <c r="O723" s="181"/>
      <c r="P723" s="181"/>
      <c r="Q723" s="181"/>
      <c r="R723" s="181"/>
      <c r="S723" s="181"/>
      <c r="T723" s="181"/>
      <c r="U723" s="181"/>
      <c r="V723" s="181"/>
      <c r="W723" s="181"/>
      <c r="X723" s="181"/>
      <c r="Y723" s="181"/>
    </row>
    <row r="724" spans="1:25" ht="15.75" hidden="1" customHeight="1" x14ac:dyDescent="0.2">
      <c r="A724" s="181"/>
      <c r="B724" s="174"/>
      <c r="C724" s="175"/>
      <c r="D724" s="175"/>
      <c r="E724" s="175"/>
      <c r="F724" s="122"/>
      <c r="G724" s="122"/>
      <c r="H724" s="122"/>
      <c r="I724" s="122"/>
      <c r="J724" s="173"/>
      <c r="K724" s="181"/>
      <c r="L724" s="181"/>
      <c r="M724" s="181"/>
      <c r="N724" s="181"/>
      <c r="O724" s="181"/>
      <c r="P724" s="181"/>
      <c r="Q724" s="181"/>
      <c r="R724" s="181"/>
      <c r="S724" s="181"/>
      <c r="T724" s="181"/>
      <c r="U724" s="181"/>
      <c r="V724" s="181"/>
      <c r="W724" s="181"/>
      <c r="X724" s="181"/>
      <c r="Y724" s="181"/>
    </row>
    <row r="725" spans="1:25" ht="15.75" hidden="1" customHeight="1" x14ac:dyDescent="0.2">
      <c r="A725" s="181"/>
      <c r="B725" s="174"/>
      <c r="C725" s="175"/>
      <c r="D725" s="175"/>
      <c r="E725" s="175"/>
      <c r="F725" s="122"/>
      <c r="G725" s="122"/>
      <c r="H725" s="122"/>
      <c r="I725" s="122"/>
      <c r="J725" s="173"/>
      <c r="K725" s="181"/>
      <c r="L725" s="181"/>
      <c r="M725" s="181"/>
      <c r="N725" s="181"/>
      <c r="O725" s="181"/>
      <c r="P725" s="181"/>
      <c r="Q725" s="181"/>
      <c r="R725" s="181"/>
      <c r="S725" s="181"/>
      <c r="T725" s="181"/>
      <c r="U725" s="181"/>
      <c r="V725" s="181"/>
      <c r="W725" s="181"/>
      <c r="X725" s="181"/>
      <c r="Y725" s="181"/>
    </row>
    <row r="726" spans="1:25" ht="15.75" hidden="1" customHeight="1" x14ac:dyDescent="0.2">
      <c r="A726" s="181"/>
      <c r="B726" s="174"/>
      <c r="C726" s="175"/>
      <c r="D726" s="175"/>
      <c r="E726" s="175"/>
      <c r="F726" s="122"/>
      <c r="G726" s="122"/>
      <c r="H726" s="122"/>
      <c r="I726" s="122"/>
      <c r="J726" s="173"/>
      <c r="K726" s="181"/>
      <c r="L726" s="181"/>
      <c r="M726" s="181"/>
      <c r="N726" s="181"/>
      <c r="O726" s="181"/>
      <c r="P726" s="181"/>
      <c r="Q726" s="181"/>
      <c r="R726" s="181"/>
      <c r="S726" s="181"/>
      <c r="T726" s="181"/>
      <c r="U726" s="181"/>
      <c r="V726" s="181"/>
      <c r="W726" s="181"/>
      <c r="X726" s="181"/>
      <c r="Y726" s="181"/>
    </row>
    <row r="727" spans="1:25" ht="15.75" hidden="1" customHeight="1" x14ac:dyDescent="0.2">
      <c r="A727" s="181"/>
      <c r="B727" s="174"/>
      <c r="C727" s="175"/>
      <c r="D727" s="175"/>
      <c r="E727" s="175"/>
      <c r="F727" s="122"/>
      <c r="G727" s="122"/>
      <c r="H727" s="122"/>
      <c r="I727" s="122"/>
      <c r="J727" s="173"/>
      <c r="K727" s="181"/>
      <c r="L727" s="181"/>
      <c r="M727" s="181"/>
      <c r="N727" s="181"/>
      <c r="O727" s="181"/>
      <c r="P727" s="181"/>
      <c r="Q727" s="181"/>
      <c r="R727" s="181"/>
      <c r="S727" s="181"/>
      <c r="T727" s="181"/>
      <c r="U727" s="181"/>
      <c r="V727" s="181"/>
      <c r="W727" s="181"/>
      <c r="X727" s="181"/>
      <c r="Y727" s="181"/>
    </row>
    <row r="728" spans="1:25" ht="15.75" hidden="1" customHeight="1" x14ac:dyDescent="0.2">
      <c r="A728" s="181"/>
      <c r="B728" s="174"/>
      <c r="C728" s="175"/>
      <c r="D728" s="175"/>
      <c r="E728" s="175"/>
      <c r="F728" s="122"/>
      <c r="G728" s="122"/>
      <c r="H728" s="122"/>
      <c r="I728" s="122"/>
      <c r="J728" s="173"/>
      <c r="K728" s="181"/>
      <c r="L728" s="181"/>
      <c r="M728" s="181"/>
      <c r="N728" s="181"/>
      <c r="O728" s="181"/>
      <c r="P728" s="181"/>
      <c r="Q728" s="181"/>
      <c r="R728" s="181"/>
      <c r="S728" s="181"/>
      <c r="T728" s="181"/>
      <c r="U728" s="181"/>
      <c r="V728" s="181"/>
      <c r="W728" s="181"/>
      <c r="X728" s="181"/>
      <c r="Y728" s="181"/>
    </row>
    <row r="729" spans="1:25" ht="15.75" hidden="1" customHeight="1" x14ac:dyDescent="0.2">
      <c r="A729" s="181"/>
      <c r="B729" s="174"/>
      <c r="C729" s="175"/>
      <c r="D729" s="175"/>
      <c r="E729" s="175"/>
      <c r="F729" s="122"/>
      <c r="G729" s="122"/>
      <c r="H729" s="122"/>
      <c r="I729" s="122"/>
      <c r="J729" s="173"/>
      <c r="K729" s="181"/>
      <c r="L729" s="181"/>
      <c r="M729" s="181"/>
      <c r="N729" s="181"/>
      <c r="O729" s="181"/>
      <c r="P729" s="181"/>
      <c r="Q729" s="181"/>
      <c r="R729" s="181"/>
      <c r="S729" s="181"/>
      <c r="T729" s="181"/>
      <c r="U729" s="181"/>
      <c r="V729" s="181"/>
      <c r="W729" s="181"/>
      <c r="X729" s="181"/>
      <c r="Y729" s="181"/>
    </row>
    <row r="730" spans="1:25" ht="15.75" hidden="1" customHeight="1" x14ac:dyDescent="0.2">
      <c r="A730" s="181"/>
      <c r="B730" s="174"/>
      <c r="C730" s="175"/>
      <c r="D730" s="175"/>
      <c r="E730" s="175"/>
      <c r="F730" s="122"/>
      <c r="G730" s="122"/>
      <c r="H730" s="122"/>
      <c r="I730" s="122"/>
      <c r="J730" s="173"/>
      <c r="K730" s="181"/>
      <c r="L730" s="181"/>
      <c r="M730" s="181"/>
      <c r="N730" s="181"/>
      <c r="O730" s="181"/>
      <c r="P730" s="181"/>
      <c r="Q730" s="181"/>
      <c r="R730" s="181"/>
      <c r="S730" s="181"/>
      <c r="T730" s="181"/>
      <c r="U730" s="181"/>
      <c r="V730" s="181"/>
      <c r="W730" s="181"/>
      <c r="X730" s="181"/>
      <c r="Y730" s="181"/>
    </row>
    <row r="731" spans="1:25" ht="15.75" hidden="1" customHeight="1" x14ac:dyDescent="0.2">
      <c r="A731" s="181"/>
      <c r="B731" s="174"/>
      <c r="C731" s="175"/>
      <c r="D731" s="175"/>
      <c r="E731" s="175"/>
      <c r="F731" s="122"/>
      <c r="G731" s="122"/>
      <c r="H731" s="122"/>
      <c r="I731" s="122"/>
      <c r="J731" s="173"/>
      <c r="K731" s="181"/>
      <c r="L731" s="181"/>
      <c r="M731" s="181"/>
      <c r="N731" s="181"/>
      <c r="O731" s="181"/>
      <c r="P731" s="181"/>
      <c r="Q731" s="181"/>
      <c r="R731" s="181"/>
      <c r="S731" s="181"/>
      <c r="T731" s="181"/>
      <c r="U731" s="181"/>
      <c r="V731" s="181"/>
      <c r="W731" s="181"/>
      <c r="X731" s="181"/>
      <c r="Y731" s="181"/>
    </row>
    <row r="732" spans="1:25" ht="15.75" hidden="1" customHeight="1" x14ac:dyDescent="0.2">
      <c r="A732" s="181"/>
      <c r="B732" s="174"/>
      <c r="C732" s="175"/>
      <c r="D732" s="175"/>
      <c r="E732" s="175"/>
      <c r="F732" s="122"/>
      <c r="G732" s="122"/>
      <c r="H732" s="122"/>
      <c r="I732" s="122"/>
      <c r="J732" s="173"/>
      <c r="K732" s="181"/>
      <c r="L732" s="181"/>
      <c r="M732" s="181"/>
      <c r="N732" s="181"/>
      <c r="O732" s="181"/>
      <c r="P732" s="181"/>
      <c r="Q732" s="181"/>
      <c r="R732" s="181"/>
      <c r="S732" s="181"/>
      <c r="T732" s="181"/>
      <c r="U732" s="181"/>
      <c r="V732" s="181"/>
      <c r="W732" s="181"/>
      <c r="X732" s="181"/>
      <c r="Y732" s="181"/>
    </row>
    <row r="733" spans="1:25" ht="15.75" hidden="1" customHeight="1" x14ac:dyDescent="0.2">
      <c r="A733" s="181"/>
      <c r="B733" s="174"/>
      <c r="C733" s="175"/>
      <c r="D733" s="175"/>
      <c r="E733" s="175"/>
      <c r="F733" s="122"/>
      <c r="G733" s="122"/>
      <c r="H733" s="122"/>
      <c r="I733" s="122"/>
      <c r="J733" s="173"/>
      <c r="K733" s="181"/>
      <c r="L733" s="181"/>
      <c r="M733" s="181"/>
      <c r="N733" s="181"/>
      <c r="O733" s="181"/>
      <c r="P733" s="181"/>
      <c r="Q733" s="181"/>
      <c r="R733" s="181"/>
      <c r="S733" s="181"/>
      <c r="T733" s="181"/>
      <c r="U733" s="181"/>
      <c r="V733" s="181"/>
      <c r="W733" s="181"/>
      <c r="X733" s="181"/>
      <c r="Y733" s="181"/>
    </row>
    <row r="734" spans="1:25" ht="15.75" hidden="1" customHeight="1" x14ac:dyDescent="0.2">
      <c r="A734" s="181"/>
      <c r="B734" s="174"/>
      <c r="C734" s="175"/>
      <c r="D734" s="175"/>
      <c r="E734" s="175"/>
      <c r="F734" s="122"/>
      <c r="G734" s="122"/>
      <c r="H734" s="122"/>
      <c r="I734" s="122"/>
      <c r="J734" s="173"/>
      <c r="K734" s="181"/>
      <c r="L734" s="181"/>
      <c r="M734" s="181"/>
      <c r="N734" s="181"/>
      <c r="O734" s="181"/>
      <c r="P734" s="181"/>
      <c r="Q734" s="181"/>
      <c r="R734" s="181"/>
      <c r="S734" s="181"/>
      <c r="T734" s="181"/>
      <c r="U734" s="181"/>
      <c r="V734" s="181"/>
      <c r="W734" s="181"/>
      <c r="X734" s="181"/>
      <c r="Y734" s="181"/>
    </row>
    <row r="735" spans="1:25" ht="15.75" hidden="1" customHeight="1" x14ac:dyDescent="0.2">
      <c r="A735" s="181"/>
      <c r="B735" s="174"/>
      <c r="C735" s="175"/>
      <c r="D735" s="175"/>
      <c r="E735" s="175"/>
      <c r="F735" s="122"/>
      <c r="G735" s="122"/>
      <c r="H735" s="122"/>
      <c r="I735" s="122"/>
      <c r="J735" s="173"/>
      <c r="K735" s="181"/>
      <c r="L735" s="181"/>
      <c r="M735" s="181"/>
      <c r="N735" s="181"/>
      <c r="O735" s="181"/>
      <c r="P735" s="181"/>
      <c r="Q735" s="181"/>
      <c r="R735" s="181"/>
      <c r="S735" s="181"/>
      <c r="T735" s="181"/>
      <c r="U735" s="181"/>
      <c r="V735" s="181"/>
      <c r="W735" s="181"/>
      <c r="X735" s="181"/>
      <c r="Y735" s="181"/>
    </row>
    <row r="736" spans="1:25" ht="15.75" hidden="1" customHeight="1" x14ac:dyDescent="0.2">
      <c r="A736" s="181"/>
      <c r="B736" s="174"/>
      <c r="C736" s="175"/>
      <c r="D736" s="175"/>
      <c r="E736" s="175"/>
      <c r="F736" s="122"/>
      <c r="G736" s="122"/>
      <c r="H736" s="122"/>
      <c r="I736" s="122"/>
      <c r="J736" s="173"/>
      <c r="K736" s="181"/>
      <c r="L736" s="181"/>
      <c r="M736" s="181"/>
      <c r="N736" s="181"/>
      <c r="O736" s="181"/>
      <c r="P736" s="181"/>
      <c r="Q736" s="181"/>
      <c r="R736" s="181"/>
      <c r="S736" s="181"/>
      <c r="T736" s="181"/>
      <c r="U736" s="181"/>
      <c r="V736" s="181"/>
      <c r="W736" s="181"/>
      <c r="X736" s="181"/>
      <c r="Y736" s="181"/>
    </row>
    <row r="737" spans="1:25" ht="15.75" hidden="1" customHeight="1" x14ac:dyDescent="0.2">
      <c r="A737" s="181"/>
      <c r="B737" s="174"/>
      <c r="C737" s="175"/>
      <c r="D737" s="175"/>
      <c r="E737" s="175"/>
      <c r="F737" s="122"/>
      <c r="G737" s="122"/>
      <c r="H737" s="122"/>
      <c r="I737" s="122"/>
      <c r="J737" s="173"/>
      <c r="K737" s="181"/>
      <c r="L737" s="181"/>
      <c r="M737" s="181"/>
      <c r="N737" s="181"/>
      <c r="O737" s="181"/>
      <c r="P737" s="181"/>
      <c r="Q737" s="181"/>
      <c r="R737" s="181"/>
      <c r="S737" s="181"/>
      <c r="T737" s="181"/>
      <c r="U737" s="181"/>
      <c r="V737" s="181"/>
      <c r="W737" s="181"/>
      <c r="X737" s="181"/>
      <c r="Y737" s="181"/>
    </row>
    <row r="738" spans="1:25" ht="15.75" hidden="1" customHeight="1" x14ac:dyDescent="0.2">
      <c r="A738" s="181"/>
      <c r="B738" s="174"/>
      <c r="C738" s="175"/>
      <c r="D738" s="175"/>
      <c r="E738" s="175"/>
      <c r="F738" s="122"/>
      <c r="G738" s="122"/>
      <c r="H738" s="122"/>
      <c r="I738" s="122"/>
      <c r="J738" s="173"/>
      <c r="K738" s="181"/>
      <c r="L738" s="181"/>
      <c r="M738" s="181"/>
      <c r="N738" s="181"/>
      <c r="O738" s="181"/>
      <c r="P738" s="181"/>
      <c r="Q738" s="181"/>
      <c r="R738" s="181"/>
      <c r="S738" s="181"/>
      <c r="T738" s="181"/>
      <c r="U738" s="181"/>
      <c r="V738" s="181"/>
      <c r="W738" s="181"/>
      <c r="X738" s="181"/>
      <c r="Y738" s="181"/>
    </row>
    <row r="739" spans="1:25" ht="15.75" hidden="1" customHeight="1" x14ac:dyDescent="0.2">
      <c r="A739" s="181"/>
      <c r="B739" s="174"/>
      <c r="C739" s="175"/>
      <c r="D739" s="175"/>
      <c r="E739" s="175"/>
      <c r="F739" s="122"/>
      <c r="G739" s="122"/>
      <c r="H739" s="122"/>
      <c r="I739" s="122"/>
      <c r="J739" s="173"/>
      <c r="K739" s="181"/>
      <c r="L739" s="181"/>
      <c r="M739" s="181"/>
      <c r="N739" s="181"/>
      <c r="O739" s="181"/>
      <c r="P739" s="181"/>
      <c r="Q739" s="181"/>
      <c r="R739" s="181"/>
      <c r="S739" s="181"/>
      <c r="T739" s="181"/>
      <c r="U739" s="181"/>
      <c r="V739" s="181"/>
      <c r="W739" s="181"/>
      <c r="X739" s="181"/>
      <c r="Y739" s="181"/>
    </row>
    <row r="740" spans="1:25" ht="15.75" hidden="1" customHeight="1" x14ac:dyDescent="0.2">
      <c r="A740" s="181"/>
      <c r="B740" s="174"/>
      <c r="C740" s="175"/>
      <c r="D740" s="175"/>
      <c r="E740" s="175"/>
      <c r="F740" s="122"/>
      <c r="G740" s="122"/>
      <c r="H740" s="122"/>
      <c r="I740" s="122"/>
      <c r="J740" s="173"/>
      <c r="K740" s="181"/>
      <c r="L740" s="181"/>
      <c r="M740" s="181"/>
      <c r="N740" s="181"/>
      <c r="O740" s="181"/>
      <c r="P740" s="181"/>
      <c r="Q740" s="181"/>
      <c r="R740" s="181"/>
      <c r="S740" s="181"/>
      <c r="T740" s="181"/>
      <c r="U740" s="181"/>
      <c r="V740" s="181"/>
      <c r="W740" s="181"/>
      <c r="X740" s="181"/>
      <c r="Y740" s="181"/>
    </row>
    <row r="741" spans="1:25" ht="15.75" hidden="1" customHeight="1" x14ac:dyDescent="0.2">
      <c r="A741" s="181"/>
      <c r="B741" s="174"/>
      <c r="C741" s="175"/>
      <c r="D741" s="175"/>
      <c r="E741" s="175"/>
      <c r="F741" s="122"/>
      <c r="G741" s="122"/>
      <c r="H741" s="122"/>
      <c r="I741" s="122"/>
      <c r="J741" s="173"/>
      <c r="K741" s="181"/>
      <c r="L741" s="181"/>
      <c r="M741" s="181"/>
      <c r="N741" s="181"/>
      <c r="O741" s="181"/>
      <c r="P741" s="181"/>
      <c r="Q741" s="181"/>
      <c r="R741" s="181"/>
      <c r="S741" s="181"/>
      <c r="T741" s="181"/>
      <c r="U741" s="181"/>
      <c r="V741" s="181"/>
      <c r="W741" s="181"/>
      <c r="X741" s="181"/>
      <c r="Y741" s="181"/>
    </row>
    <row r="742" spans="1:25" ht="15.75" hidden="1" customHeight="1" x14ac:dyDescent="0.2">
      <c r="A742" s="181"/>
      <c r="B742" s="174"/>
      <c r="C742" s="175"/>
      <c r="D742" s="175"/>
      <c r="E742" s="175"/>
      <c r="F742" s="122"/>
      <c r="G742" s="122"/>
      <c r="H742" s="122"/>
      <c r="I742" s="122"/>
      <c r="J742" s="173"/>
      <c r="K742" s="181"/>
      <c r="L742" s="181"/>
      <c r="M742" s="181"/>
      <c r="N742" s="181"/>
      <c r="O742" s="181"/>
      <c r="P742" s="181"/>
      <c r="Q742" s="181"/>
      <c r="R742" s="181"/>
      <c r="S742" s="181"/>
      <c r="T742" s="181"/>
      <c r="U742" s="181"/>
      <c r="V742" s="181"/>
      <c r="W742" s="181"/>
      <c r="X742" s="181"/>
      <c r="Y742" s="181"/>
    </row>
    <row r="743" spans="1:25" ht="15.75" hidden="1" customHeight="1" x14ac:dyDescent="0.2">
      <c r="A743" s="181"/>
      <c r="B743" s="174"/>
      <c r="C743" s="175"/>
      <c r="D743" s="175"/>
      <c r="E743" s="175"/>
      <c r="F743" s="122"/>
      <c r="G743" s="122"/>
      <c r="H743" s="122"/>
      <c r="I743" s="122"/>
      <c r="J743" s="173"/>
      <c r="K743" s="181"/>
      <c r="L743" s="181"/>
      <c r="M743" s="181"/>
      <c r="N743" s="181"/>
      <c r="O743" s="181"/>
      <c r="P743" s="181"/>
      <c r="Q743" s="181"/>
      <c r="R743" s="181"/>
      <c r="S743" s="181"/>
      <c r="T743" s="181"/>
      <c r="U743" s="181"/>
      <c r="V743" s="181"/>
      <c r="W743" s="181"/>
      <c r="X743" s="181"/>
      <c r="Y743" s="181"/>
    </row>
    <row r="744" spans="1:25" ht="15.75" hidden="1" customHeight="1" x14ac:dyDescent="0.2">
      <c r="A744" s="181"/>
      <c r="B744" s="174"/>
      <c r="C744" s="175"/>
      <c r="D744" s="175"/>
      <c r="E744" s="175"/>
      <c r="F744" s="122"/>
      <c r="G744" s="122"/>
      <c r="H744" s="122"/>
      <c r="I744" s="122"/>
      <c r="J744" s="173"/>
      <c r="K744" s="181"/>
      <c r="L744" s="181"/>
      <c r="M744" s="181"/>
      <c r="N744" s="181"/>
      <c r="O744" s="181"/>
      <c r="P744" s="181"/>
      <c r="Q744" s="181"/>
      <c r="R744" s="181"/>
      <c r="S744" s="181"/>
      <c r="T744" s="181"/>
      <c r="U744" s="181"/>
      <c r="V744" s="181"/>
      <c r="W744" s="181"/>
      <c r="X744" s="181"/>
      <c r="Y744" s="181"/>
    </row>
    <row r="745" spans="1:25" ht="15.75" hidden="1" customHeight="1" x14ac:dyDescent="0.2">
      <c r="A745" s="181"/>
      <c r="B745" s="174"/>
      <c r="C745" s="175"/>
      <c r="D745" s="175"/>
      <c r="E745" s="175"/>
      <c r="F745" s="122"/>
      <c r="G745" s="122"/>
      <c r="H745" s="122"/>
      <c r="I745" s="122"/>
      <c r="J745" s="173"/>
      <c r="K745" s="181"/>
      <c r="L745" s="181"/>
      <c r="M745" s="181"/>
      <c r="N745" s="181"/>
      <c r="O745" s="181"/>
      <c r="P745" s="181"/>
      <c r="Q745" s="181"/>
      <c r="R745" s="181"/>
      <c r="S745" s="181"/>
      <c r="T745" s="181"/>
      <c r="U745" s="181"/>
      <c r="V745" s="181"/>
      <c r="W745" s="181"/>
      <c r="X745" s="181"/>
      <c r="Y745" s="181"/>
    </row>
    <row r="746" spans="1:25" ht="15.75" hidden="1" customHeight="1" x14ac:dyDescent="0.2">
      <c r="A746" s="181"/>
      <c r="B746" s="174"/>
      <c r="C746" s="175"/>
      <c r="D746" s="175"/>
      <c r="E746" s="175"/>
      <c r="F746" s="122"/>
      <c r="G746" s="122"/>
      <c r="H746" s="122"/>
      <c r="I746" s="122"/>
      <c r="J746" s="173"/>
      <c r="K746" s="181"/>
      <c r="L746" s="181"/>
      <c r="M746" s="181"/>
      <c r="N746" s="181"/>
      <c r="O746" s="181"/>
      <c r="P746" s="181"/>
      <c r="Q746" s="181"/>
      <c r="R746" s="181"/>
      <c r="S746" s="181"/>
      <c r="T746" s="181"/>
      <c r="U746" s="181"/>
      <c r="V746" s="181"/>
      <c r="W746" s="181"/>
      <c r="X746" s="181"/>
      <c r="Y746" s="181"/>
    </row>
    <row r="747" spans="1:25" ht="15.75" hidden="1" customHeight="1" x14ac:dyDescent="0.2">
      <c r="A747" s="181"/>
      <c r="B747" s="174"/>
      <c r="C747" s="175"/>
      <c r="D747" s="175"/>
      <c r="E747" s="175"/>
      <c r="F747" s="122"/>
      <c r="G747" s="122"/>
      <c r="H747" s="122"/>
      <c r="I747" s="122"/>
      <c r="J747" s="173"/>
      <c r="K747" s="181"/>
      <c r="L747" s="181"/>
      <c r="M747" s="181"/>
      <c r="N747" s="181"/>
      <c r="O747" s="181"/>
      <c r="P747" s="181"/>
      <c r="Q747" s="181"/>
      <c r="R747" s="181"/>
      <c r="S747" s="181"/>
      <c r="T747" s="181"/>
      <c r="U747" s="181"/>
      <c r="V747" s="181"/>
      <c r="W747" s="181"/>
      <c r="X747" s="181"/>
      <c r="Y747" s="181"/>
    </row>
    <row r="748" spans="1:25" ht="15.75" hidden="1" customHeight="1" x14ac:dyDescent="0.2">
      <c r="A748" s="181"/>
      <c r="B748" s="174"/>
      <c r="C748" s="175"/>
      <c r="D748" s="175"/>
      <c r="E748" s="175"/>
      <c r="F748" s="122"/>
      <c r="G748" s="122"/>
      <c r="H748" s="122"/>
      <c r="I748" s="122"/>
      <c r="J748" s="173"/>
      <c r="K748" s="181"/>
      <c r="L748" s="181"/>
      <c r="M748" s="181"/>
      <c r="N748" s="181"/>
      <c r="O748" s="181"/>
      <c r="P748" s="181"/>
      <c r="Q748" s="181"/>
      <c r="R748" s="181"/>
      <c r="S748" s="181"/>
      <c r="T748" s="181"/>
      <c r="U748" s="181"/>
      <c r="V748" s="181"/>
      <c r="W748" s="181"/>
      <c r="X748" s="181"/>
      <c r="Y748" s="181"/>
    </row>
    <row r="749" spans="1:25" ht="15.75" hidden="1" customHeight="1" x14ac:dyDescent="0.2">
      <c r="A749" s="181"/>
      <c r="B749" s="174"/>
      <c r="C749" s="175"/>
      <c r="D749" s="175"/>
      <c r="E749" s="175"/>
      <c r="F749" s="122"/>
      <c r="G749" s="122"/>
      <c r="H749" s="122"/>
      <c r="I749" s="122"/>
      <c r="J749" s="173"/>
      <c r="K749" s="181"/>
      <c r="L749" s="181"/>
      <c r="M749" s="181"/>
      <c r="N749" s="181"/>
      <c r="O749" s="181"/>
      <c r="P749" s="181"/>
      <c r="Q749" s="181"/>
      <c r="R749" s="181"/>
      <c r="S749" s="181"/>
      <c r="T749" s="181"/>
      <c r="U749" s="181"/>
      <c r="V749" s="181"/>
      <c r="W749" s="181"/>
      <c r="X749" s="181"/>
      <c r="Y749" s="181"/>
    </row>
    <row r="750" spans="1:25" ht="15.75" hidden="1" customHeight="1" x14ac:dyDescent="0.2">
      <c r="A750" s="181"/>
      <c r="B750" s="174"/>
      <c r="C750" s="175"/>
      <c r="D750" s="175"/>
      <c r="E750" s="175"/>
      <c r="F750" s="122"/>
      <c r="G750" s="122"/>
      <c r="H750" s="122"/>
      <c r="I750" s="122"/>
      <c r="J750" s="173"/>
      <c r="K750" s="181"/>
      <c r="L750" s="181"/>
      <c r="M750" s="181"/>
      <c r="N750" s="181"/>
      <c r="O750" s="181"/>
      <c r="P750" s="181"/>
      <c r="Q750" s="181"/>
      <c r="R750" s="181"/>
      <c r="S750" s="181"/>
      <c r="T750" s="181"/>
      <c r="U750" s="181"/>
      <c r="V750" s="181"/>
      <c r="W750" s="181"/>
      <c r="X750" s="181"/>
      <c r="Y750" s="181"/>
    </row>
    <row r="751" spans="1:25" ht="15.75" hidden="1" customHeight="1" x14ac:dyDescent="0.2">
      <c r="A751" s="181"/>
      <c r="B751" s="174"/>
      <c r="C751" s="175"/>
      <c r="D751" s="175"/>
      <c r="E751" s="175"/>
      <c r="F751" s="122"/>
      <c r="G751" s="122"/>
      <c r="H751" s="122"/>
      <c r="I751" s="122"/>
      <c r="J751" s="173"/>
      <c r="K751" s="181"/>
      <c r="L751" s="181"/>
      <c r="M751" s="181"/>
      <c r="N751" s="181"/>
      <c r="O751" s="181"/>
      <c r="P751" s="181"/>
      <c r="Q751" s="181"/>
      <c r="R751" s="181"/>
      <c r="S751" s="181"/>
      <c r="T751" s="181"/>
      <c r="U751" s="181"/>
      <c r="V751" s="181"/>
      <c r="W751" s="181"/>
      <c r="X751" s="181"/>
      <c r="Y751" s="181"/>
    </row>
    <row r="752" spans="1:25" ht="15.75" hidden="1" customHeight="1" x14ac:dyDescent="0.2">
      <c r="A752" s="181"/>
      <c r="B752" s="174"/>
      <c r="C752" s="175"/>
      <c r="D752" s="175"/>
      <c r="E752" s="175"/>
      <c r="F752" s="122"/>
      <c r="G752" s="122"/>
      <c r="H752" s="122"/>
      <c r="I752" s="122"/>
      <c r="J752" s="173"/>
      <c r="K752" s="181"/>
      <c r="L752" s="181"/>
      <c r="M752" s="181"/>
      <c r="N752" s="181"/>
      <c r="O752" s="181"/>
      <c r="P752" s="181"/>
      <c r="Q752" s="181"/>
      <c r="R752" s="181"/>
      <c r="S752" s="181"/>
      <c r="T752" s="181"/>
      <c r="U752" s="181"/>
      <c r="V752" s="181"/>
      <c r="W752" s="181"/>
      <c r="X752" s="181"/>
      <c r="Y752" s="181"/>
    </row>
    <row r="753" spans="1:25" ht="15.75" hidden="1" customHeight="1" x14ac:dyDescent="0.2">
      <c r="A753" s="181"/>
      <c r="B753" s="174"/>
      <c r="C753" s="175"/>
      <c r="D753" s="175"/>
      <c r="E753" s="175"/>
      <c r="F753" s="122"/>
      <c r="G753" s="122"/>
      <c r="H753" s="122"/>
      <c r="I753" s="122"/>
      <c r="J753" s="173"/>
      <c r="K753" s="181"/>
      <c r="L753" s="181"/>
      <c r="M753" s="181"/>
      <c r="N753" s="181"/>
      <c r="O753" s="181"/>
      <c r="P753" s="181"/>
      <c r="Q753" s="181"/>
      <c r="R753" s="181"/>
      <c r="S753" s="181"/>
      <c r="T753" s="181"/>
      <c r="U753" s="181"/>
      <c r="V753" s="181"/>
      <c r="W753" s="181"/>
      <c r="X753" s="181"/>
      <c r="Y753" s="181"/>
    </row>
    <row r="754" spans="1:25" ht="15.75" hidden="1" customHeight="1" x14ac:dyDescent="0.2">
      <c r="A754" s="181"/>
      <c r="B754" s="174"/>
      <c r="C754" s="175"/>
      <c r="D754" s="175"/>
      <c r="E754" s="175"/>
      <c r="F754" s="122"/>
      <c r="G754" s="122"/>
      <c r="H754" s="122"/>
      <c r="I754" s="122"/>
      <c r="J754" s="173"/>
      <c r="K754" s="181"/>
      <c r="L754" s="181"/>
      <c r="M754" s="181"/>
      <c r="N754" s="181"/>
      <c r="O754" s="181"/>
      <c r="P754" s="181"/>
      <c r="Q754" s="181"/>
      <c r="R754" s="181"/>
      <c r="S754" s="181"/>
      <c r="T754" s="181"/>
      <c r="U754" s="181"/>
      <c r="V754" s="181"/>
      <c r="W754" s="181"/>
      <c r="X754" s="181"/>
      <c r="Y754" s="181"/>
    </row>
    <row r="755" spans="1:25" ht="15.75" hidden="1" customHeight="1" x14ac:dyDescent="0.2">
      <c r="A755" s="181"/>
      <c r="B755" s="174"/>
      <c r="C755" s="175"/>
      <c r="D755" s="175"/>
      <c r="E755" s="175"/>
      <c r="F755" s="122"/>
      <c r="G755" s="122"/>
      <c r="H755" s="122"/>
      <c r="I755" s="122"/>
      <c r="J755" s="173"/>
      <c r="K755" s="181"/>
      <c r="L755" s="181"/>
      <c r="M755" s="181"/>
      <c r="N755" s="181"/>
      <c r="O755" s="181"/>
      <c r="P755" s="181"/>
      <c r="Q755" s="181"/>
      <c r="R755" s="181"/>
      <c r="S755" s="181"/>
      <c r="T755" s="181"/>
      <c r="U755" s="181"/>
      <c r="V755" s="181"/>
      <c r="W755" s="181"/>
      <c r="X755" s="181"/>
      <c r="Y755" s="181"/>
    </row>
    <row r="756" spans="1:25" ht="15.75" hidden="1" customHeight="1" x14ac:dyDescent="0.2">
      <c r="A756" s="181"/>
      <c r="B756" s="174"/>
      <c r="C756" s="175"/>
      <c r="D756" s="175"/>
      <c r="E756" s="175"/>
      <c r="F756" s="122"/>
      <c r="G756" s="122"/>
      <c r="H756" s="122"/>
      <c r="I756" s="122"/>
      <c r="J756" s="173"/>
      <c r="K756" s="181"/>
      <c r="L756" s="181"/>
      <c r="M756" s="181"/>
      <c r="N756" s="181"/>
      <c r="O756" s="181"/>
      <c r="P756" s="181"/>
      <c r="Q756" s="181"/>
      <c r="R756" s="181"/>
      <c r="S756" s="181"/>
      <c r="T756" s="181"/>
      <c r="U756" s="181"/>
      <c r="V756" s="181"/>
      <c r="W756" s="181"/>
      <c r="X756" s="181"/>
      <c r="Y756" s="181"/>
    </row>
    <row r="757" spans="1:25" ht="15.75" hidden="1" customHeight="1" x14ac:dyDescent="0.2">
      <c r="A757" s="181"/>
      <c r="B757" s="174"/>
      <c r="C757" s="175"/>
      <c r="D757" s="175"/>
      <c r="E757" s="175"/>
      <c r="F757" s="122"/>
      <c r="G757" s="122"/>
      <c r="H757" s="122"/>
      <c r="I757" s="122"/>
      <c r="J757" s="173"/>
      <c r="K757" s="181"/>
      <c r="L757" s="181"/>
      <c r="M757" s="181"/>
      <c r="N757" s="181"/>
      <c r="O757" s="181"/>
      <c r="P757" s="181"/>
      <c r="Q757" s="181"/>
      <c r="R757" s="181"/>
      <c r="S757" s="181"/>
      <c r="T757" s="181"/>
      <c r="U757" s="181"/>
      <c r="V757" s="181"/>
      <c r="W757" s="181"/>
      <c r="X757" s="181"/>
      <c r="Y757" s="181"/>
    </row>
    <row r="758" spans="1:25" ht="15.75" hidden="1" customHeight="1" x14ac:dyDescent="0.2">
      <c r="A758" s="181"/>
      <c r="B758" s="174"/>
      <c r="C758" s="175"/>
      <c r="D758" s="175"/>
      <c r="E758" s="175"/>
      <c r="F758" s="122"/>
      <c r="G758" s="122"/>
      <c r="H758" s="122"/>
      <c r="I758" s="122"/>
      <c r="J758" s="173"/>
      <c r="K758" s="181"/>
      <c r="L758" s="181"/>
      <c r="M758" s="181"/>
      <c r="N758" s="181"/>
      <c r="O758" s="181"/>
      <c r="P758" s="181"/>
      <c r="Q758" s="181"/>
      <c r="R758" s="181"/>
      <c r="S758" s="181"/>
      <c r="T758" s="181"/>
      <c r="U758" s="181"/>
      <c r="V758" s="181"/>
      <c r="W758" s="181"/>
      <c r="X758" s="181"/>
      <c r="Y758" s="181"/>
    </row>
    <row r="759" spans="1:25" ht="15.75" hidden="1" customHeight="1" x14ac:dyDescent="0.2">
      <c r="A759" s="181"/>
      <c r="B759" s="174"/>
      <c r="C759" s="175"/>
      <c r="D759" s="175"/>
      <c r="E759" s="175"/>
      <c r="F759" s="122"/>
      <c r="G759" s="122"/>
      <c r="H759" s="122"/>
      <c r="I759" s="122"/>
      <c r="J759" s="173"/>
      <c r="K759" s="181"/>
      <c r="L759" s="181"/>
      <c r="M759" s="181"/>
      <c r="N759" s="181"/>
      <c r="O759" s="181"/>
      <c r="P759" s="181"/>
      <c r="Q759" s="181"/>
      <c r="R759" s="181"/>
      <c r="S759" s="181"/>
      <c r="T759" s="181"/>
      <c r="U759" s="181"/>
      <c r="V759" s="181"/>
      <c r="W759" s="181"/>
      <c r="X759" s="181"/>
      <c r="Y759" s="181"/>
    </row>
    <row r="760" spans="1:25" ht="15.75" hidden="1" customHeight="1" x14ac:dyDescent="0.2">
      <c r="A760" s="181"/>
      <c r="B760" s="174"/>
      <c r="C760" s="175"/>
      <c r="D760" s="175"/>
      <c r="E760" s="175"/>
      <c r="F760" s="122"/>
      <c r="G760" s="122"/>
      <c r="H760" s="122"/>
      <c r="I760" s="122"/>
      <c r="J760" s="173"/>
      <c r="K760" s="181"/>
      <c r="L760" s="181"/>
      <c r="M760" s="181"/>
      <c r="N760" s="181"/>
      <c r="O760" s="181"/>
      <c r="P760" s="181"/>
      <c r="Q760" s="181"/>
      <c r="R760" s="181"/>
      <c r="S760" s="181"/>
      <c r="T760" s="181"/>
      <c r="U760" s="181"/>
      <c r="V760" s="181"/>
      <c r="W760" s="181"/>
      <c r="X760" s="181"/>
      <c r="Y760" s="181"/>
    </row>
    <row r="761" spans="1:25" ht="15.75" hidden="1" customHeight="1" x14ac:dyDescent="0.2">
      <c r="A761" s="181"/>
      <c r="B761" s="174"/>
      <c r="C761" s="175"/>
      <c r="D761" s="175"/>
      <c r="E761" s="175"/>
      <c r="F761" s="122"/>
      <c r="G761" s="122"/>
      <c r="H761" s="122"/>
      <c r="I761" s="122"/>
      <c r="J761" s="173"/>
      <c r="K761" s="181"/>
      <c r="L761" s="181"/>
      <c r="M761" s="181"/>
      <c r="N761" s="181"/>
      <c r="O761" s="181"/>
      <c r="P761" s="181"/>
      <c r="Q761" s="181"/>
      <c r="R761" s="181"/>
      <c r="S761" s="181"/>
      <c r="T761" s="181"/>
      <c r="U761" s="181"/>
      <c r="V761" s="181"/>
      <c r="W761" s="181"/>
      <c r="X761" s="181"/>
      <c r="Y761" s="181"/>
    </row>
    <row r="762" spans="1:25" ht="15.75" hidden="1" customHeight="1" x14ac:dyDescent="0.2">
      <c r="A762" s="181"/>
      <c r="B762" s="174"/>
      <c r="C762" s="175"/>
      <c r="D762" s="175"/>
      <c r="E762" s="175"/>
      <c r="F762" s="122"/>
      <c r="G762" s="122"/>
      <c r="H762" s="122"/>
      <c r="I762" s="122"/>
      <c r="J762" s="173"/>
      <c r="K762" s="181"/>
      <c r="L762" s="181"/>
      <c r="M762" s="181"/>
      <c r="N762" s="181"/>
      <c r="O762" s="181"/>
      <c r="P762" s="181"/>
      <c r="Q762" s="181"/>
      <c r="R762" s="181"/>
      <c r="S762" s="181"/>
      <c r="T762" s="181"/>
      <c r="U762" s="181"/>
      <c r="V762" s="181"/>
      <c r="W762" s="181"/>
      <c r="X762" s="181"/>
      <c r="Y762" s="181"/>
    </row>
    <row r="763" spans="1:25" ht="15.75" hidden="1" customHeight="1" x14ac:dyDescent="0.2">
      <c r="A763" s="181"/>
      <c r="B763" s="174"/>
      <c r="C763" s="175"/>
      <c r="D763" s="175"/>
      <c r="E763" s="175"/>
      <c r="F763" s="122"/>
      <c r="G763" s="122"/>
      <c r="H763" s="122"/>
      <c r="I763" s="122"/>
      <c r="J763" s="173"/>
      <c r="K763" s="181"/>
      <c r="L763" s="181"/>
      <c r="M763" s="181"/>
      <c r="N763" s="181"/>
      <c r="O763" s="181"/>
      <c r="P763" s="181"/>
      <c r="Q763" s="181"/>
      <c r="R763" s="181"/>
      <c r="S763" s="181"/>
      <c r="T763" s="181"/>
      <c r="U763" s="181"/>
      <c r="V763" s="181"/>
      <c r="W763" s="181"/>
      <c r="X763" s="181"/>
      <c r="Y763" s="181"/>
    </row>
    <row r="764" spans="1:25" ht="15.75" hidden="1" customHeight="1" x14ac:dyDescent="0.2">
      <c r="A764" s="181"/>
      <c r="B764" s="174"/>
      <c r="C764" s="175"/>
      <c r="D764" s="175"/>
      <c r="E764" s="175"/>
      <c r="F764" s="122"/>
      <c r="G764" s="122"/>
      <c r="H764" s="122"/>
      <c r="I764" s="122"/>
      <c r="J764" s="173"/>
      <c r="K764" s="181"/>
      <c r="L764" s="181"/>
      <c r="M764" s="181"/>
      <c r="N764" s="181"/>
      <c r="O764" s="181"/>
      <c r="P764" s="181"/>
      <c r="Q764" s="181"/>
      <c r="R764" s="181"/>
      <c r="S764" s="181"/>
      <c r="T764" s="181"/>
      <c r="U764" s="181"/>
      <c r="V764" s="181"/>
      <c r="W764" s="181"/>
      <c r="X764" s="181"/>
      <c r="Y764" s="181"/>
    </row>
    <row r="765" spans="1:25" ht="15.75" hidden="1" customHeight="1" x14ac:dyDescent="0.2">
      <c r="A765" s="181"/>
      <c r="B765" s="174"/>
      <c r="C765" s="175"/>
      <c r="D765" s="175"/>
      <c r="E765" s="175"/>
      <c r="F765" s="122"/>
      <c r="G765" s="122"/>
      <c r="H765" s="122"/>
      <c r="I765" s="122"/>
      <c r="J765" s="173"/>
      <c r="K765" s="181"/>
      <c r="L765" s="181"/>
      <c r="M765" s="181"/>
      <c r="N765" s="181"/>
      <c r="O765" s="181"/>
      <c r="P765" s="181"/>
      <c r="Q765" s="181"/>
      <c r="R765" s="181"/>
      <c r="S765" s="181"/>
      <c r="T765" s="181"/>
      <c r="U765" s="181"/>
      <c r="V765" s="181"/>
      <c r="W765" s="181"/>
      <c r="X765" s="181"/>
      <c r="Y765" s="181"/>
    </row>
    <row r="766" spans="1:25" ht="15.75" hidden="1" customHeight="1" x14ac:dyDescent="0.2">
      <c r="A766" s="181"/>
      <c r="B766" s="174"/>
      <c r="C766" s="175"/>
      <c r="D766" s="175"/>
      <c r="E766" s="175"/>
      <c r="F766" s="122"/>
      <c r="G766" s="122"/>
      <c r="H766" s="122"/>
      <c r="I766" s="122"/>
      <c r="J766" s="173"/>
      <c r="K766" s="181"/>
      <c r="L766" s="181"/>
      <c r="M766" s="181"/>
      <c r="N766" s="181"/>
      <c r="O766" s="181"/>
      <c r="P766" s="181"/>
      <c r="Q766" s="181"/>
      <c r="R766" s="181"/>
      <c r="S766" s="181"/>
      <c r="T766" s="181"/>
      <c r="U766" s="181"/>
      <c r="V766" s="181"/>
      <c r="W766" s="181"/>
      <c r="X766" s="181"/>
      <c r="Y766" s="181"/>
    </row>
    <row r="767" spans="1:25" ht="15.75" hidden="1" customHeight="1" x14ac:dyDescent="0.2">
      <c r="A767" s="181"/>
      <c r="B767" s="174"/>
      <c r="C767" s="175"/>
      <c r="D767" s="175"/>
      <c r="E767" s="175"/>
      <c r="F767" s="122"/>
      <c r="G767" s="122"/>
      <c r="H767" s="122"/>
      <c r="I767" s="122"/>
      <c r="J767" s="173"/>
      <c r="K767" s="181"/>
      <c r="L767" s="181"/>
      <c r="M767" s="181"/>
      <c r="N767" s="181"/>
      <c r="O767" s="181"/>
      <c r="P767" s="181"/>
      <c r="Q767" s="181"/>
      <c r="R767" s="181"/>
      <c r="S767" s="181"/>
      <c r="T767" s="181"/>
      <c r="U767" s="181"/>
      <c r="V767" s="181"/>
      <c r="W767" s="181"/>
      <c r="X767" s="181"/>
      <c r="Y767" s="181"/>
    </row>
    <row r="768" spans="1:25" ht="15.75" hidden="1" customHeight="1" x14ac:dyDescent="0.2">
      <c r="A768" s="181"/>
      <c r="B768" s="174"/>
      <c r="C768" s="175"/>
      <c r="D768" s="175"/>
      <c r="E768" s="175"/>
      <c r="F768" s="122"/>
      <c r="G768" s="122"/>
      <c r="H768" s="122"/>
      <c r="I768" s="122"/>
      <c r="J768" s="173"/>
      <c r="K768" s="181"/>
      <c r="L768" s="181"/>
      <c r="M768" s="181"/>
      <c r="N768" s="181"/>
      <c r="O768" s="181"/>
      <c r="P768" s="181"/>
      <c r="Q768" s="181"/>
      <c r="R768" s="181"/>
      <c r="S768" s="181"/>
      <c r="T768" s="181"/>
      <c r="U768" s="181"/>
      <c r="V768" s="181"/>
      <c r="W768" s="181"/>
      <c r="X768" s="181"/>
      <c r="Y768" s="181"/>
    </row>
    <row r="769" spans="1:25" ht="15.75" hidden="1" customHeight="1" x14ac:dyDescent="0.2">
      <c r="A769" s="181"/>
      <c r="B769" s="174"/>
      <c r="C769" s="175"/>
      <c r="D769" s="175"/>
      <c r="E769" s="175"/>
      <c r="F769" s="122"/>
      <c r="G769" s="122"/>
      <c r="H769" s="122"/>
      <c r="I769" s="122"/>
      <c r="J769" s="173"/>
      <c r="K769" s="181"/>
      <c r="L769" s="181"/>
      <c r="M769" s="181"/>
      <c r="N769" s="181"/>
      <c r="O769" s="181"/>
      <c r="P769" s="181"/>
      <c r="Q769" s="181"/>
      <c r="R769" s="181"/>
      <c r="S769" s="181"/>
      <c r="T769" s="181"/>
      <c r="U769" s="181"/>
      <c r="V769" s="181"/>
      <c r="W769" s="181"/>
      <c r="X769" s="181"/>
      <c r="Y769" s="181"/>
    </row>
    <row r="770" spans="1:25" ht="15.75" hidden="1" customHeight="1" x14ac:dyDescent="0.2">
      <c r="A770" s="181"/>
      <c r="B770" s="174"/>
      <c r="C770" s="175"/>
      <c r="D770" s="175"/>
      <c r="E770" s="175"/>
      <c r="F770" s="122"/>
      <c r="G770" s="122"/>
      <c r="H770" s="122"/>
      <c r="I770" s="122"/>
      <c r="J770" s="173"/>
      <c r="K770" s="181"/>
      <c r="L770" s="181"/>
      <c r="M770" s="181"/>
      <c r="N770" s="181"/>
      <c r="O770" s="181"/>
      <c r="P770" s="181"/>
      <c r="Q770" s="181"/>
      <c r="R770" s="181"/>
      <c r="S770" s="181"/>
      <c r="T770" s="181"/>
      <c r="U770" s="181"/>
      <c r="V770" s="181"/>
      <c r="W770" s="181"/>
      <c r="X770" s="181"/>
      <c r="Y770" s="181"/>
    </row>
    <row r="771" spans="1:25" ht="15.75" hidden="1" customHeight="1" x14ac:dyDescent="0.2">
      <c r="A771" s="181"/>
      <c r="B771" s="174"/>
      <c r="C771" s="175"/>
      <c r="D771" s="175"/>
      <c r="E771" s="175"/>
      <c r="F771" s="122"/>
      <c r="G771" s="122"/>
      <c r="H771" s="122"/>
      <c r="I771" s="122"/>
      <c r="J771" s="173"/>
      <c r="K771" s="181"/>
      <c r="L771" s="181"/>
      <c r="M771" s="181"/>
      <c r="N771" s="181"/>
      <c r="O771" s="181"/>
      <c r="P771" s="181"/>
      <c r="Q771" s="181"/>
      <c r="R771" s="181"/>
      <c r="S771" s="181"/>
      <c r="T771" s="181"/>
      <c r="U771" s="181"/>
      <c r="V771" s="181"/>
      <c r="W771" s="181"/>
      <c r="X771" s="181"/>
      <c r="Y771" s="181"/>
    </row>
    <row r="772" spans="1:25" ht="15.75" hidden="1" customHeight="1" x14ac:dyDescent="0.2">
      <c r="A772" s="181"/>
      <c r="B772" s="174"/>
      <c r="C772" s="175"/>
      <c r="D772" s="175"/>
      <c r="E772" s="175"/>
      <c r="F772" s="122"/>
      <c r="G772" s="122"/>
      <c r="H772" s="122"/>
      <c r="I772" s="122"/>
      <c r="J772" s="173"/>
      <c r="K772" s="181"/>
      <c r="L772" s="181"/>
      <c r="M772" s="181"/>
      <c r="N772" s="181"/>
      <c r="O772" s="181"/>
      <c r="P772" s="181"/>
      <c r="Q772" s="181"/>
      <c r="R772" s="181"/>
      <c r="S772" s="181"/>
      <c r="T772" s="181"/>
      <c r="U772" s="181"/>
      <c r="V772" s="181"/>
      <c r="W772" s="181"/>
      <c r="X772" s="181"/>
      <c r="Y772" s="181"/>
    </row>
    <row r="773" spans="1:25" ht="15.75" hidden="1" customHeight="1" x14ac:dyDescent="0.2">
      <c r="A773" s="181"/>
      <c r="B773" s="174"/>
      <c r="C773" s="175"/>
      <c r="D773" s="175"/>
      <c r="E773" s="175"/>
      <c r="F773" s="122"/>
      <c r="G773" s="122"/>
      <c r="H773" s="122"/>
      <c r="I773" s="122"/>
      <c r="J773" s="173"/>
      <c r="K773" s="181"/>
      <c r="L773" s="181"/>
      <c r="M773" s="181"/>
      <c r="N773" s="181"/>
      <c r="O773" s="181"/>
      <c r="P773" s="181"/>
      <c r="Q773" s="181"/>
      <c r="R773" s="181"/>
      <c r="S773" s="181"/>
      <c r="T773" s="181"/>
      <c r="U773" s="181"/>
      <c r="V773" s="181"/>
      <c r="W773" s="181"/>
      <c r="X773" s="181"/>
      <c r="Y773" s="181"/>
    </row>
    <row r="774" spans="1:25" ht="15.75" hidden="1" customHeight="1" x14ac:dyDescent="0.2">
      <c r="A774" s="181"/>
      <c r="B774" s="174"/>
      <c r="C774" s="175"/>
      <c r="D774" s="175"/>
      <c r="E774" s="175"/>
      <c r="F774" s="122"/>
      <c r="G774" s="122"/>
      <c r="H774" s="122"/>
      <c r="I774" s="122"/>
      <c r="J774" s="173"/>
      <c r="K774" s="181"/>
      <c r="L774" s="181"/>
      <c r="M774" s="181"/>
      <c r="N774" s="181"/>
      <c r="O774" s="181"/>
      <c r="P774" s="181"/>
      <c r="Q774" s="181"/>
      <c r="R774" s="181"/>
      <c r="S774" s="181"/>
      <c r="T774" s="181"/>
      <c r="U774" s="181"/>
      <c r="V774" s="181"/>
      <c r="W774" s="181"/>
      <c r="X774" s="181"/>
      <c r="Y774" s="181"/>
    </row>
    <row r="775" spans="1:25" ht="15.75" hidden="1" customHeight="1" x14ac:dyDescent="0.2">
      <c r="A775" s="181"/>
      <c r="B775" s="174"/>
      <c r="C775" s="175"/>
      <c r="D775" s="175"/>
      <c r="E775" s="175"/>
      <c r="F775" s="122"/>
      <c r="G775" s="122"/>
      <c r="H775" s="122"/>
      <c r="I775" s="122"/>
      <c r="J775" s="173"/>
      <c r="K775" s="181"/>
      <c r="L775" s="181"/>
      <c r="M775" s="181"/>
      <c r="N775" s="181"/>
      <c r="O775" s="181"/>
      <c r="P775" s="181"/>
      <c r="Q775" s="181"/>
      <c r="R775" s="181"/>
      <c r="S775" s="181"/>
      <c r="T775" s="181"/>
      <c r="U775" s="181"/>
      <c r="V775" s="181"/>
      <c r="W775" s="181"/>
      <c r="X775" s="181"/>
      <c r="Y775" s="181"/>
    </row>
    <row r="776" spans="1:25" ht="15.75" hidden="1" customHeight="1" x14ac:dyDescent="0.2">
      <c r="A776" s="181"/>
      <c r="B776" s="174"/>
      <c r="C776" s="175"/>
      <c r="D776" s="175"/>
      <c r="E776" s="175"/>
      <c r="F776" s="122"/>
      <c r="G776" s="122"/>
      <c r="H776" s="122"/>
      <c r="I776" s="122"/>
      <c r="J776" s="173"/>
      <c r="K776" s="181"/>
      <c r="L776" s="181"/>
      <c r="M776" s="181"/>
      <c r="N776" s="181"/>
      <c r="O776" s="181"/>
      <c r="P776" s="181"/>
      <c r="Q776" s="181"/>
      <c r="R776" s="181"/>
      <c r="S776" s="181"/>
      <c r="T776" s="181"/>
      <c r="U776" s="181"/>
      <c r="V776" s="181"/>
      <c r="W776" s="181"/>
      <c r="X776" s="181"/>
      <c r="Y776" s="181"/>
    </row>
    <row r="777" spans="1:25" ht="15.75" hidden="1" customHeight="1" x14ac:dyDescent="0.2">
      <c r="A777" s="181"/>
      <c r="B777" s="174"/>
      <c r="C777" s="175"/>
      <c r="D777" s="175"/>
      <c r="E777" s="175"/>
      <c r="F777" s="122"/>
      <c r="G777" s="122"/>
      <c r="H777" s="122"/>
      <c r="I777" s="122"/>
      <c r="J777" s="173"/>
      <c r="K777" s="181"/>
      <c r="L777" s="181"/>
      <c r="M777" s="181"/>
      <c r="N777" s="181"/>
      <c r="O777" s="181"/>
      <c r="P777" s="181"/>
      <c r="Q777" s="181"/>
      <c r="R777" s="181"/>
      <c r="S777" s="181"/>
      <c r="T777" s="181"/>
      <c r="U777" s="181"/>
      <c r="V777" s="181"/>
      <c r="W777" s="181"/>
      <c r="X777" s="181"/>
      <c r="Y777" s="181"/>
    </row>
    <row r="778" spans="1:25" ht="15.75" hidden="1" customHeight="1" x14ac:dyDescent="0.2">
      <c r="A778" s="181"/>
      <c r="B778" s="174"/>
      <c r="C778" s="175"/>
      <c r="D778" s="175"/>
      <c r="E778" s="175"/>
      <c r="F778" s="122"/>
      <c r="G778" s="122"/>
      <c r="H778" s="122"/>
      <c r="I778" s="122"/>
      <c r="J778" s="173"/>
      <c r="K778" s="181"/>
      <c r="L778" s="181"/>
      <c r="M778" s="181"/>
      <c r="N778" s="181"/>
      <c r="O778" s="181"/>
      <c r="P778" s="181"/>
      <c r="Q778" s="181"/>
      <c r="R778" s="181"/>
      <c r="S778" s="181"/>
      <c r="T778" s="181"/>
      <c r="U778" s="181"/>
      <c r="V778" s="181"/>
      <c r="W778" s="181"/>
      <c r="X778" s="181"/>
      <c r="Y778" s="181"/>
    </row>
    <row r="779" spans="1:25" ht="15.75" hidden="1" customHeight="1" x14ac:dyDescent="0.2">
      <c r="A779" s="181"/>
      <c r="B779" s="174"/>
      <c r="C779" s="175"/>
      <c r="D779" s="175"/>
      <c r="E779" s="175"/>
      <c r="F779" s="122"/>
      <c r="G779" s="122"/>
      <c r="H779" s="122"/>
      <c r="I779" s="122"/>
      <c r="J779" s="173"/>
      <c r="K779" s="181"/>
      <c r="L779" s="181"/>
      <c r="M779" s="181"/>
      <c r="N779" s="181"/>
      <c r="O779" s="181"/>
      <c r="P779" s="181"/>
      <c r="Q779" s="181"/>
      <c r="R779" s="181"/>
      <c r="S779" s="181"/>
      <c r="T779" s="181"/>
      <c r="U779" s="181"/>
      <c r="V779" s="181"/>
      <c r="W779" s="181"/>
      <c r="X779" s="181"/>
      <c r="Y779" s="181"/>
    </row>
    <row r="780" spans="1:25" ht="15.75" hidden="1" customHeight="1" x14ac:dyDescent="0.2">
      <c r="A780" s="181"/>
      <c r="B780" s="174"/>
      <c r="C780" s="175"/>
      <c r="D780" s="175"/>
      <c r="E780" s="175"/>
      <c r="F780" s="122"/>
      <c r="G780" s="122"/>
      <c r="H780" s="122"/>
      <c r="I780" s="122"/>
      <c r="J780" s="173"/>
      <c r="K780" s="181"/>
      <c r="L780" s="181"/>
      <c r="M780" s="181"/>
      <c r="N780" s="181"/>
      <c r="O780" s="181"/>
      <c r="P780" s="181"/>
      <c r="Q780" s="181"/>
      <c r="R780" s="181"/>
      <c r="S780" s="181"/>
      <c r="T780" s="181"/>
      <c r="U780" s="181"/>
      <c r="V780" s="181"/>
      <c r="W780" s="181"/>
      <c r="X780" s="181"/>
      <c r="Y780" s="181"/>
    </row>
    <row r="781" spans="1:25" ht="15.75" hidden="1" customHeight="1" x14ac:dyDescent="0.2">
      <c r="A781" s="181"/>
      <c r="B781" s="174"/>
      <c r="C781" s="175"/>
      <c r="D781" s="175"/>
      <c r="E781" s="175"/>
      <c r="F781" s="122"/>
      <c r="G781" s="122"/>
      <c r="H781" s="122"/>
      <c r="I781" s="122"/>
      <c r="J781" s="173"/>
      <c r="K781" s="181"/>
      <c r="L781" s="181"/>
      <c r="M781" s="181"/>
      <c r="N781" s="181"/>
      <c r="O781" s="181"/>
      <c r="P781" s="181"/>
      <c r="Q781" s="181"/>
      <c r="R781" s="181"/>
      <c r="S781" s="181"/>
      <c r="T781" s="181"/>
      <c r="U781" s="181"/>
      <c r="V781" s="181"/>
      <c r="W781" s="181"/>
      <c r="X781" s="181"/>
      <c r="Y781" s="181"/>
    </row>
    <row r="782" spans="1:25" ht="15.75" hidden="1" customHeight="1" x14ac:dyDescent="0.2">
      <c r="A782" s="181"/>
      <c r="B782" s="174"/>
      <c r="C782" s="175"/>
      <c r="D782" s="175"/>
      <c r="E782" s="175"/>
      <c r="F782" s="122"/>
      <c r="G782" s="122"/>
      <c r="H782" s="122"/>
      <c r="I782" s="122"/>
      <c r="J782" s="173"/>
      <c r="K782" s="181"/>
      <c r="L782" s="181"/>
      <c r="M782" s="181"/>
      <c r="N782" s="181"/>
      <c r="O782" s="181"/>
      <c r="P782" s="181"/>
      <c r="Q782" s="181"/>
      <c r="R782" s="181"/>
      <c r="S782" s="181"/>
      <c r="T782" s="181"/>
      <c r="U782" s="181"/>
      <c r="V782" s="181"/>
      <c r="W782" s="181"/>
      <c r="X782" s="181"/>
      <c r="Y782" s="181"/>
    </row>
    <row r="783" spans="1:25" ht="15.75" hidden="1" customHeight="1" x14ac:dyDescent="0.2">
      <c r="A783" s="181"/>
      <c r="B783" s="174"/>
      <c r="C783" s="175"/>
      <c r="D783" s="175"/>
      <c r="E783" s="175"/>
      <c r="F783" s="122"/>
      <c r="G783" s="122"/>
      <c r="H783" s="122"/>
      <c r="I783" s="122"/>
      <c r="J783" s="173"/>
      <c r="K783" s="181"/>
      <c r="L783" s="181"/>
      <c r="M783" s="181"/>
      <c r="N783" s="181"/>
      <c r="O783" s="181"/>
      <c r="P783" s="181"/>
      <c r="Q783" s="181"/>
      <c r="R783" s="181"/>
      <c r="S783" s="181"/>
      <c r="T783" s="181"/>
      <c r="U783" s="181"/>
      <c r="V783" s="181"/>
      <c r="W783" s="181"/>
      <c r="X783" s="181"/>
      <c r="Y783" s="181"/>
    </row>
    <row r="784" spans="1:25" ht="15.75" hidden="1" customHeight="1" x14ac:dyDescent="0.2">
      <c r="A784" s="181"/>
      <c r="B784" s="174"/>
      <c r="C784" s="175"/>
      <c r="D784" s="175"/>
      <c r="E784" s="175"/>
      <c r="F784" s="122"/>
      <c r="G784" s="122"/>
      <c r="H784" s="122"/>
      <c r="I784" s="122"/>
      <c r="J784" s="173"/>
      <c r="K784" s="181"/>
      <c r="L784" s="181"/>
      <c r="M784" s="181"/>
      <c r="N784" s="181"/>
      <c r="O784" s="181"/>
      <c r="P784" s="181"/>
      <c r="Q784" s="181"/>
      <c r="R784" s="181"/>
      <c r="S784" s="181"/>
      <c r="T784" s="181"/>
      <c r="U784" s="181"/>
      <c r="V784" s="181"/>
      <c r="W784" s="181"/>
      <c r="X784" s="181"/>
      <c r="Y784" s="181"/>
    </row>
    <row r="785" spans="1:25" ht="15.75" hidden="1" customHeight="1" x14ac:dyDescent="0.2">
      <c r="A785" s="181"/>
      <c r="B785" s="174"/>
      <c r="C785" s="175"/>
      <c r="D785" s="175"/>
      <c r="E785" s="175"/>
      <c r="F785" s="122"/>
      <c r="G785" s="122"/>
      <c r="H785" s="122"/>
      <c r="I785" s="122"/>
      <c r="J785" s="173"/>
      <c r="K785" s="181"/>
      <c r="L785" s="181"/>
      <c r="M785" s="181"/>
      <c r="N785" s="181"/>
      <c r="O785" s="181"/>
      <c r="P785" s="181"/>
      <c r="Q785" s="181"/>
      <c r="R785" s="181"/>
      <c r="S785" s="181"/>
      <c r="T785" s="181"/>
      <c r="U785" s="181"/>
      <c r="V785" s="181"/>
      <c r="W785" s="181"/>
      <c r="X785" s="181"/>
      <c r="Y785" s="181"/>
    </row>
    <row r="786" spans="1:25" ht="15.75" hidden="1" customHeight="1" x14ac:dyDescent="0.2">
      <c r="A786" s="181"/>
      <c r="B786" s="174"/>
      <c r="C786" s="175"/>
      <c r="D786" s="175"/>
      <c r="E786" s="175"/>
      <c r="F786" s="122"/>
      <c r="G786" s="122"/>
      <c r="H786" s="122"/>
      <c r="I786" s="122"/>
      <c r="J786" s="173"/>
      <c r="K786" s="181"/>
      <c r="L786" s="181"/>
      <c r="M786" s="181"/>
      <c r="N786" s="181"/>
      <c r="O786" s="181"/>
      <c r="P786" s="181"/>
      <c r="Q786" s="181"/>
      <c r="R786" s="181"/>
      <c r="S786" s="181"/>
      <c r="T786" s="181"/>
      <c r="U786" s="181"/>
      <c r="V786" s="181"/>
      <c r="W786" s="181"/>
      <c r="X786" s="181"/>
      <c r="Y786" s="181"/>
    </row>
    <row r="787" spans="1:25" ht="15.75" hidden="1" customHeight="1" x14ac:dyDescent="0.2">
      <c r="A787" s="181"/>
      <c r="B787" s="174"/>
      <c r="C787" s="175"/>
      <c r="D787" s="175"/>
      <c r="E787" s="175"/>
      <c r="F787" s="122"/>
      <c r="G787" s="122"/>
      <c r="H787" s="122"/>
      <c r="I787" s="122"/>
      <c r="J787" s="173"/>
      <c r="K787" s="181"/>
      <c r="L787" s="181"/>
      <c r="M787" s="181"/>
      <c r="N787" s="181"/>
      <c r="O787" s="181"/>
      <c r="P787" s="181"/>
      <c r="Q787" s="181"/>
      <c r="R787" s="181"/>
      <c r="S787" s="181"/>
      <c r="T787" s="181"/>
      <c r="U787" s="181"/>
      <c r="V787" s="181"/>
      <c r="W787" s="181"/>
      <c r="X787" s="181"/>
      <c r="Y787" s="181"/>
    </row>
    <row r="788" spans="1:25" ht="15.75" hidden="1" customHeight="1" x14ac:dyDescent="0.2">
      <c r="A788" s="181"/>
      <c r="B788" s="174"/>
      <c r="C788" s="175"/>
      <c r="D788" s="175"/>
      <c r="E788" s="175"/>
      <c r="F788" s="122"/>
      <c r="G788" s="122"/>
      <c r="H788" s="122"/>
      <c r="I788" s="122"/>
      <c r="J788" s="173"/>
      <c r="K788" s="181"/>
      <c r="L788" s="181"/>
      <c r="M788" s="181"/>
      <c r="N788" s="181"/>
      <c r="O788" s="181"/>
      <c r="P788" s="181"/>
      <c r="Q788" s="181"/>
      <c r="R788" s="181"/>
      <c r="S788" s="181"/>
      <c r="T788" s="181"/>
      <c r="U788" s="181"/>
      <c r="V788" s="181"/>
      <c r="W788" s="181"/>
      <c r="X788" s="181"/>
      <c r="Y788" s="181"/>
    </row>
    <row r="789" spans="1:25" ht="15.75" hidden="1" customHeight="1" x14ac:dyDescent="0.2">
      <c r="A789" s="181"/>
      <c r="B789" s="174"/>
      <c r="C789" s="175"/>
      <c r="D789" s="175"/>
      <c r="E789" s="175"/>
      <c r="F789" s="122"/>
      <c r="G789" s="122"/>
      <c r="H789" s="122"/>
      <c r="I789" s="122"/>
      <c r="J789" s="173"/>
      <c r="K789" s="181"/>
      <c r="L789" s="181"/>
      <c r="M789" s="181"/>
      <c r="N789" s="181"/>
      <c r="O789" s="181"/>
      <c r="P789" s="181"/>
      <c r="Q789" s="181"/>
      <c r="R789" s="181"/>
      <c r="S789" s="181"/>
      <c r="T789" s="181"/>
      <c r="U789" s="181"/>
      <c r="V789" s="181"/>
      <c r="W789" s="181"/>
      <c r="X789" s="181"/>
      <c r="Y789" s="181"/>
    </row>
    <row r="790" spans="1:25" ht="15.75" hidden="1" customHeight="1" x14ac:dyDescent="0.2">
      <c r="A790" s="181"/>
      <c r="B790" s="174"/>
      <c r="C790" s="175"/>
      <c r="D790" s="175"/>
      <c r="E790" s="175"/>
      <c r="F790" s="122"/>
      <c r="G790" s="122"/>
      <c r="H790" s="122"/>
      <c r="I790" s="122"/>
      <c r="J790" s="173"/>
      <c r="K790" s="181"/>
      <c r="L790" s="181"/>
      <c r="M790" s="181"/>
      <c r="N790" s="181"/>
      <c r="O790" s="181"/>
      <c r="P790" s="181"/>
      <c r="Q790" s="181"/>
      <c r="R790" s="181"/>
      <c r="S790" s="181"/>
      <c r="T790" s="181"/>
      <c r="U790" s="181"/>
      <c r="V790" s="181"/>
      <c r="W790" s="181"/>
      <c r="X790" s="181"/>
      <c r="Y790" s="181"/>
    </row>
    <row r="791" spans="1:25" ht="15.75" hidden="1" customHeight="1" x14ac:dyDescent="0.2">
      <c r="A791" s="181"/>
      <c r="B791" s="174"/>
      <c r="C791" s="175"/>
      <c r="D791" s="175"/>
      <c r="E791" s="175"/>
      <c r="F791" s="122"/>
      <c r="G791" s="122"/>
      <c r="H791" s="122"/>
      <c r="I791" s="122"/>
      <c r="J791" s="173"/>
      <c r="K791" s="181"/>
      <c r="L791" s="181"/>
      <c r="M791" s="181"/>
      <c r="N791" s="181"/>
      <c r="O791" s="181"/>
      <c r="P791" s="181"/>
      <c r="Q791" s="181"/>
      <c r="R791" s="181"/>
      <c r="S791" s="181"/>
      <c r="T791" s="181"/>
      <c r="U791" s="181"/>
      <c r="V791" s="181"/>
      <c r="W791" s="181"/>
      <c r="X791" s="181"/>
      <c r="Y791" s="181"/>
    </row>
    <row r="792" spans="1:25" ht="15.75" hidden="1" customHeight="1" x14ac:dyDescent="0.2">
      <c r="A792" s="181"/>
      <c r="B792" s="174"/>
      <c r="C792" s="175"/>
      <c r="D792" s="175"/>
      <c r="E792" s="175"/>
      <c r="F792" s="122"/>
      <c r="G792" s="122"/>
      <c r="H792" s="122"/>
      <c r="I792" s="122"/>
      <c r="J792" s="173"/>
      <c r="K792" s="181"/>
      <c r="L792" s="181"/>
      <c r="M792" s="181"/>
      <c r="N792" s="181"/>
      <c r="O792" s="181"/>
      <c r="P792" s="181"/>
      <c r="Q792" s="181"/>
      <c r="R792" s="181"/>
      <c r="S792" s="181"/>
      <c r="T792" s="181"/>
      <c r="U792" s="181"/>
      <c r="V792" s="181"/>
      <c r="W792" s="181"/>
      <c r="X792" s="181"/>
      <c r="Y792" s="181"/>
    </row>
    <row r="793" spans="1:25" ht="15.75" hidden="1" customHeight="1" x14ac:dyDescent="0.2">
      <c r="A793" s="181"/>
      <c r="B793" s="174"/>
      <c r="C793" s="175"/>
      <c r="D793" s="175"/>
      <c r="E793" s="175"/>
      <c r="F793" s="122"/>
      <c r="G793" s="122"/>
      <c r="H793" s="122"/>
      <c r="I793" s="122"/>
      <c r="J793" s="173"/>
      <c r="K793" s="181"/>
      <c r="L793" s="181"/>
      <c r="M793" s="181"/>
      <c r="N793" s="181"/>
      <c r="O793" s="181"/>
      <c r="P793" s="181"/>
      <c r="Q793" s="181"/>
      <c r="R793" s="181"/>
      <c r="S793" s="181"/>
      <c r="T793" s="181"/>
      <c r="U793" s="181"/>
      <c r="V793" s="181"/>
      <c r="W793" s="181"/>
      <c r="X793" s="181"/>
      <c r="Y793" s="181"/>
    </row>
    <row r="794" spans="1:25" ht="15.75" hidden="1" customHeight="1" x14ac:dyDescent="0.2">
      <c r="A794" s="181"/>
      <c r="B794" s="174"/>
      <c r="C794" s="175"/>
      <c r="D794" s="175"/>
      <c r="E794" s="175"/>
      <c r="F794" s="122"/>
      <c r="G794" s="122"/>
      <c r="H794" s="122"/>
      <c r="I794" s="122"/>
      <c r="J794" s="173"/>
      <c r="K794" s="181"/>
      <c r="L794" s="181"/>
      <c r="M794" s="181"/>
      <c r="N794" s="181"/>
      <c r="O794" s="181"/>
      <c r="P794" s="181"/>
      <c r="Q794" s="181"/>
      <c r="R794" s="181"/>
      <c r="S794" s="181"/>
      <c r="T794" s="181"/>
      <c r="U794" s="181"/>
      <c r="V794" s="181"/>
      <c r="W794" s="181"/>
      <c r="X794" s="181"/>
      <c r="Y794" s="181"/>
    </row>
    <row r="795" spans="1:25" ht="15.75" hidden="1" customHeight="1" x14ac:dyDescent="0.2">
      <c r="A795" s="181"/>
      <c r="B795" s="174"/>
      <c r="C795" s="175"/>
      <c r="D795" s="175"/>
      <c r="E795" s="175"/>
      <c r="F795" s="122"/>
      <c r="G795" s="122"/>
      <c r="H795" s="122"/>
      <c r="I795" s="122"/>
      <c r="J795" s="173"/>
      <c r="K795" s="181"/>
      <c r="L795" s="181"/>
      <c r="M795" s="181"/>
      <c r="N795" s="181"/>
      <c r="O795" s="181"/>
      <c r="P795" s="181"/>
      <c r="Q795" s="181"/>
      <c r="R795" s="181"/>
      <c r="S795" s="181"/>
      <c r="T795" s="181"/>
      <c r="U795" s="181"/>
      <c r="V795" s="181"/>
      <c r="W795" s="181"/>
      <c r="X795" s="181"/>
      <c r="Y795" s="181"/>
    </row>
    <row r="796" spans="1:25" ht="15.75" hidden="1" customHeight="1" x14ac:dyDescent="0.2">
      <c r="A796" s="181"/>
      <c r="B796" s="174"/>
      <c r="C796" s="175"/>
      <c r="D796" s="175"/>
      <c r="E796" s="175"/>
      <c r="F796" s="122"/>
      <c r="G796" s="122"/>
      <c r="H796" s="122"/>
      <c r="I796" s="122"/>
      <c r="J796" s="173"/>
      <c r="K796" s="181"/>
      <c r="L796" s="181"/>
      <c r="M796" s="181"/>
      <c r="N796" s="181"/>
      <c r="O796" s="181"/>
      <c r="P796" s="181"/>
      <c r="Q796" s="181"/>
      <c r="R796" s="181"/>
      <c r="S796" s="181"/>
      <c r="T796" s="181"/>
      <c r="U796" s="181"/>
      <c r="V796" s="181"/>
      <c r="W796" s="181"/>
      <c r="X796" s="181"/>
      <c r="Y796" s="181"/>
    </row>
    <row r="797" spans="1:25" ht="15.75" hidden="1" customHeight="1" x14ac:dyDescent="0.2">
      <c r="A797" s="181"/>
      <c r="B797" s="174"/>
      <c r="C797" s="175"/>
      <c r="D797" s="175"/>
      <c r="E797" s="175"/>
      <c r="F797" s="122"/>
      <c r="G797" s="122"/>
      <c r="H797" s="122"/>
      <c r="I797" s="122"/>
      <c r="J797" s="173"/>
      <c r="K797" s="181"/>
      <c r="L797" s="181"/>
      <c r="M797" s="181"/>
      <c r="N797" s="181"/>
      <c r="O797" s="181"/>
      <c r="P797" s="181"/>
      <c r="Q797" s="181"/>
      <c r="R797" s="181"/>
      <c r="S797" s="181"/>
      <c r="T797" s="181"/>
      <c r="U797" s="181"/>
      <c r="V797" s="181"/>
      <c r="W797" s="181"/>
      <c r="X797" s="181"/>
      <c r="Y797" s="181"/>
    </row>
    <row r="798" spans="1:25" ht="15.75" hidden="1" customHeight="1" x14ac:dyDescent="0.2">
      <c r="A798" s="181"/>
      <c r="B798" s="174"/>
      <c r="C798" s="175"/>
      <c r="D798" s="175"/>
      <c r="E798" s="175"/>
      <c r="F798" s="122"/>
      <c r="G798" s="122"/>
      <c r="H798" s="122"/>
      <c r="I798" s="122"/>
      <c r="J798" s="173"/>
      <c r="K798" s="181"/>
      <c r="L798" s="181"/>
      <c r="M798" s="181"/>
      <c r="N798" s="181"/>
      <c r="O798" s="181"/>
      <c r="P798" s="181"/>
      <c r="Q798" s="181"/>
      <c r="R798" s="181"/>
      <c r="S798" s="181"/>
      <c r="T798" s="181"/>
      <c r="U798" s="181"/>
      <c r="V798" s="181"/>
      <c r="W798" s="181"/>
      <c r="X798" s="181"/>
      <c r="Y798" s="181"/>
    </row>
    <row r="799" spans="1:25" ht="15.75" hidden="1" customHeight="1" x14ac:dyDescent="0.2">
      <c r="A799" s="181"/>
      <c r="B799" s="174"/>
      <c r="C799" s="175"/>
      <c r="D799" s="175"/>
      <c r="E799" s="175"/>
      <c r="F799" s="122"/>
      <c r="G799" s="122"/>
      <c r="H799" s="122"/>
      <c r="I799" s="122"/>
      <c r="J799" s="173"/>
      <c r="K799" s="181"/>
      <c r="L799" s="181"/>
      <c r="M799" s="181"/>
      <c r="N799" s="181"/>
      <c r="O799" s="181"/>
      <c r="P799" s="181"/>
      <c r="Q799" s="181"/>
      <c r="R799" s="181"/>
      <c r="S799" s="181"/>
      <c r="T799" s="181"/>
      <c r="U799" s="181"/>
      <c r="V799" s="181"/>
      <c r="W799" s="181"/>
      <c r="X799" s="181"/>
      <c r="Y799" s="181"/>
    </row>
    <row r="800" spans="1:25" ht="15.75" hidden="1" customHeight="1" x14ac:dyDescent="0.2">
      <c r="A800" s="181"/>
      <c r="B800" s="174"/>
      <c r="C800" s="175"/>
      <c r="D800" s="175"/>
      <c r="E800" s="175"/>
      <c r="F800" s="122"/>
      <c r="G800" s="122"/>
      <c r="H800" s="122"/>
      <c r="I800" s="122"/>
      <c r="J800" s="173"/>
      <c r="K800" s="181"/>
      <c r="L800" s="181"/>
      <c r="M800" s="181"/>
      <c r="N800" s="181"/>
      <c r="O800" s="181"/>
      <c r="P800" s="181"/>
      <c r="Q800" s="181"/>
      <c r="R800" s="181"/>
      <c r="S800" s="181"/>
      <c r="T800" s="181"/>
      <c r="U800" s="181"/>
      <c r="V800" s="181"/>
      <c r="W800" s="181"/>
      <c r="X800" s="181"/>
      <c r="Y800" s="181"/>
    </row>
    <row r="801" spans="1:25" ht="15.75" hidden="1" customHeight="1" x14ac:dyDescent="0.2">
      <c r="A801" s="181"/>
      <c r="B801" s="174"/>
      <c r="C801" s="175"/>
      <c r="D801" s="175"/>
      <c r="E801" s="175"/>
      <c r="F801" s="122"/>
      <c r="G801" s="122"/>
      <c r="H801" s="122"/>
      <c r="I801" s="122"/>
      <c r="J801" s="173"/>
      <c r="K801" s="181"/>
      <c r="L801" s="181"/>
      <c r="M801" s="181"/>
      <c r="N801" s="181"/>
      <c r="O801" s="181"/>
      <c r="P801" s="181"/>
      <c r="Q801" s="181"/>
      <c r="R801" s="181"/>
      <c r="S801" s="181"/>
      <c r="T801" s="181"/>
      <c r="U801" s="181"/>
      <c r="V801" s="181"/>
      <c r="W801" s="181"/>
      <c r="X801" s="181"/>
      <c r="Y801" s="181"/>
    </row>
    <row r="802" spans="1:25" ht="15.75" hidden="1" customHeight="1" x14ac:dyDescent="0.2">
      <c r="A802" s="181"/>
      <c r="B802" s="174"/>
      <c r="C802" s="175"/>
      <c r="D802" s="175"/>
      <c r="E802" s="175"/>
      <c r="F802" s="122"/>
      <c r="G802" s="122"/>
      <c r="H802" s="122"/>
      <c r="I802" s="122"/>
      <c r="J802" s="173"/>
      <c r="K802" s="181"/>
      <c r="L802" s="181"/>
      <c r="M802" s="181"/>
      <c r="N802" s="181"/>
      <c r="O802" s="181"/>
      <c r="P802" s="181"/>
      <c r="Q802" s="181"/>
      <c r="R802" s="181"/>
      <c r="S802" s="181"/>
      <c r="T802" s="181"/>
      <c r="U802" s="181"/>
      <c r="V802" s="181"/>
      <c r="W802" s="181"/>
      <c r="X802" s="181"/>
      <c r="Y802" s="181"/>
    </row>
    <row r="803" spans="1:25" ht="15.75" hidden="1" customHeight="1" x14ac:dyDescent="0.2">
      <c r="A803" s="181"/>
      <c r="B803" s="174"/>
      <c r="C803" s="175"/>
      <c r="D803" s="175"/>
      <c r="E803" s="175"/>
      <c r="F803" s="122"/>
      <c r="G803" s="122"/>
      <c r="H803" s="122"/>
      <c r="I803" s="122"/>
      <c r="J803" s="173"/>
      <c r="K803" s="181"/>
      <c r="L803" s="181"/>
      <c r="M803" s="181"/>
      <c r="N803" s="181"/>
      <c r="O803" s="181"/>
      <c r="P803" s="181"/>
      <c r="Q803" s="181"/>
      <c r="R803" s="181"/>
      <c r="S803" s="181"/>
      <c r="T803" s="181"/>
      <c r="U803" s="181"/>
      <c r="V803" s="181"/>
      <c r="W803" s="181"/>
      <c r="X803" s="181"/>
      <c r="Y803" s="181"/>
    </row>
    <row r="804" spans="1:25" ht="15.75" hidden="1" customHeight="1" x14ac:dyDescent="0.2">
      <c r="A804" s="181"/>
      <c r="B804" s="174"/>
      <c r="C804" s="175"/>
      <c r="D804" s="175"/>
      <c r="E804" s="175"/>
      <c r="F804" s="122"/>
      <c r="G804" s="122"/>
      <c r="H804" s="122"/>
      <c r="I804" s="122"/>
      <c r="J804" s="173"/>
      <c r="K804" s="181"/>
      <c r="L804" s="181"/>
      <c r="M804" s="181"/>
      <c r="N804" s="181"/>
      <c r="O804" s="181"/>
      <c r="P804" s="181"/>
      <c r="Q804" s="181"/>
      <c r="R804" s="181"/>
      <c r="S804" s="181"/>
      <c r="T804" s="181"/>
      <c r="U804" s="181"/>
      <c r="V804" s="181"/>
      <c r="W804" s="181"/>
      <c r="X804" s="181"/>
      <c r="Y804" s="181"/>
    </row>
    <row r="805" spans="1:25" ht="15.75" hidden="1" customHeight="1" x14ac:dyDescent="0.2">
      <c r="A805" s="181"/>
      <c r="B805" s="174"/>
      <c r="C805" s="175"/>
      <c r="D805" s="175"/>
      <c r="E805" s="175"/>
      <c r="F805" s="122"/>
      <c r="G805" s="122"/>
      <c r="H805" s="122"/>
      <c r="I805" s="122"/>
      <c r="J805" s="173"/>
      <c r="K805" s="181"/>
      <c r="L805" s="181"/>
      <c r="M805" s="181"/>
      <c r="N805" s="181"/>
      <c r="O805" s="181"/>
      <c r="P805" s="181"/>
      <c r="Q805" s="181"/>
      <c r="R805" s="181"/>
      <c r="S805" s="181"/>
      <c r="T805" s="181"/>
      <c r="U805" s="181"/>
      <c r="V805" s="181"/>
      <c r="W805" s="181"/>
      <c r="X805" s="181"/>
      <c r="Y805" s="181"/>
    </row>
    <row r="806" spans="1:25" ht="15.75" hidden="1" customHeight="1" x14ac:dyDescent="0.2">
      <c r="A806" s="181"/>
      <c r="B806" s="174"/>
      <c r="C806" s="175"/>
      <c r="D806" s="175"/>
      <c r="E806" s="175"/>
      <c r="F806" s="122"/>
      <c r="G806" s="122"/>
      <c r="H806" s="122"/>
      <c r="I806" s="122"/>
      <c r="J806" s="173"/>
      <c r="K806" s="181"/>
      <c r="L806" s="181"/>
      <c r="M806" s="181"/>
      <c r="N806" s="181"/>
      <c r="O806" s="181"/>
      <c r="P806" s="181"/>
      <c r="Q806" s="181"/>
      <c r="R806" s="181"/>
      <c r="S806" s="181"/>
      <c r="T806" s="181"/>
      <c r="U806" s="181"/>
      <c r="V806" s="181"/>
      <c r="W806" s="181"/>
      <c r="X806" s="181"/>
      <c r="Y806" s="181"/>
    </row>
    <row r="807" spans="1:25" ht="15.75" hidden="1" customHeight="1" x14ac:dyDescent="0.2">
      <c r="A807" s="181"/>
      <c r="B807" s="174"/>
      <c r="C807" s="175"/>
      <c r="D807" s="175"/>
      <c r="E807" s="175"/>
      <c r="F807" s="122"/>
      <c r="G807" s="122"/>
      <c r="H807" s="122"/>
      <c r="I807" s="122"/>
      <c r="J807" s="173"/>
      <c r="K807" s="181"/>
      <c r="L807" s="181"/>
      <c r="M807" s="181"/>
      <c r="N807" s="181"/>
      <c r="O807" s="181"/>
      <c r="P807" s="181"/>
      <c r="Q807" s="181"/>
      <c r="R807" s="181"/>
      <c r="S807" s="181"/>
      <c r="T807" s="181"/>
      <c r="U807" s="181"/>
      <c r="V807" s="181"/>
      <c r="W807" s="181"/>
      <c r="X807" s="181"/>
      <c r="Y807" s="181"/>
    </row>
    <row r="808" spans="1:25" ht="15.75" hidden="1" customHeight="1" x14ac:dyDescent="0.2">
      <c r="A808" s="181"/>
      <c r="B808" s="174"/>
      <c r="C808" s="175"/>
      <c r="D808" s="175"/>
      <c r="E808" s="175"/>
      <c r="F808" s="122"/>
      <c r="G808" s="122"/>
      <c r="H808" s="122"/>
      <c r="I808" s="122"/>
      <c r="J808" s="173"/>
      <c r="K808" s="181"/>
      <c r="L808" s="181"/>
      <c r="M808" s="181"/>
      <c r="N808" s="181"/>
      <c r="O808" s="181"/>
      <c r="P808" s="181"/>
      <c r="Q808" s="181"/>
      <c r="R808" s="181"/>
      <c r="S808" s="181"/>
      <c r="T808" s="181"/>
      <c r="U808" s="181"/>
      <c r="V808" s="181"/>
      <c r="W808" s="181"/>
      <c r="X808" s="181"/>
      <c r="Y808" s="181"/>
    </row>
    <row r="809" spans="1:25" ht="15.75" hidden="1" customHeight="1" x14ac:dyDescent="0.2">
      <c r="A809" s="181"/>
      <c r="B809" s="174"/>
      <c r="C809" s="175"/>
      <c r="D809" s="175"/>
      <c r="E809" s="175"/>
      <c r="F809" s="122"/>
      <c r="G809" s="122"/>
      <c r="H809" s="122"/>
      <c r="I809" s="122"/>
      <c r="J809" s="173"/>
      <c r="K809" s="181"/>
      <c r="L809" s="181"/>
      <c r="M809" s="181"/>
      <c r="N809" s="181"/>
      <c r="O809" s="181"/>
      <c r="P809" s="181"/>
      <c r="Q809" s="181"/>
      <c r="R809" s="181"/>
      <c r="S809" s="181"/>
      <c r="T809" s="181"/>
      <c r="U809" s="181"/>
      <c r="V809" s="181"/>
      <c r="W809" s="181"/>
      <c r="X809" s="181"/>
      <c r="Y809" s="181"/>
    </row>
    <row r="810" spans="1:25" ht="15.75" hidden="1" customHeight="1" x14ac:dyDescent="0.2">
      <c r="A810" s="181"/>
      <c r="B810" s="174"/>
      <c r="C810" s="175"/>
      <c r="D810" s="175"/>
      <c r="E810" s="175"/>
      <c r="F810" s="122"/>
      <c r="G810" s="122"/>
      <c r="H810" s="122"/>
      <c r="I810" s="122"/>
      <c r="J810" s="173"/>
      <c r="K810" s="181"/>
      <c r="L810" s="181"/>
      <c r="M810" s="181"/>
      <c r="N810" s="181"/>
      <c r="O810" s="181"/>
      <c r="P810" s="181"/>
      <c r="Q810" s="181"/>
      <c r="R810" s="181"/>
      <c r="S810" s="181"/>
      <c r="T810" s="181"/>
      <c r="U810" s="181"/>
      <c r="V810" s="181"/>
      <c r="W810" s="181"/>
      <c r="X810" s="181"/>
      <c r="Y810" s="181"/>
    </row>
    <row r="811" spans="1:25" ht="15.75" hidden="1" customHeight="1" x14ac:dyDescent="0.2">
      <c r="A811" s="181"/>
      <c r="B811" s="174"/>
      <c r="C811" s="175"/>
      <c r="D811" s="175"/>
      <c r="E811" s="175"/>
      <c r="F811" s="122"/>
      <c r="G811" s="122"/>
      <c r="H811" s="122"/>
      <c r="I811" s="122"/>
      <c r="J811" s="173"/>
      <c r="K811" s="181"/>
      <c r="L811" s="181"/>
      <c r="M811" s="181"/>
      <c r="N811" s="181"/>
      <c r="O811" s="181"/>
      <c r="P811" s="181"/>
      <c r="Q811" s="181"/>
      <c r="R811" s="181"/>
      <c r="S811" s="181"/>
      <c r="T811" s="181"/>
      <c r="U811" s="181"/>
      <c r="V811" s="181"/>
      <c r="W811" s="181"/>
      <c r="X811" s="181"/>
      <c r="Y811" s="181"/>
    </row>
    <row r="812" spans="1:25" ht="15.75" hidden="1" customHeight="1" x14ac:dyDescent="0.2">
      <c r="A812" s="181"/>
      <c r="B812" s="174"/>
      <c r="C812" s="175"/>
      <c r="D812" s="175"/>
      <c r="E812" s="175"/>
      <c r="F812" s="122"/>
      <c r="G812" s="122"/>
      <c r="H812" s="122"/>
      <c r="I812" s="122"/>
      <c r="J812" s="173"/>
      <c r="K812" s="181"/>
      <c r="L812" s="181"/>
      <c r="M812" s="181"/>
      <c r="N812" s="181"/>
      <c r="O812" s="181"/>
      <c r="P812" s="181"/>
      <c r="Q812" s="181"/>
      <c r="R812" s="181"/>
      <c r="S812" s="181"/>
      <c r="T812" s="181"/>
      <c r="U812" s="181"/>
      <c r="V812" s="181"/>
      <c r="W812" s="181"/>
      <c r="X812" s="181"/>
      <c r="Y812" s="181"/>
    </row>
    <row r="813" spans="1:25" ht="15.75" hidden="1" customHeight="1" x14ac:dyDescent="0.2">
      <c r="A813" s="181"/>
      <c r="B813" s="174"/>
      <c r="C813" s="175"/>
      <c r="D813" s="175"/>
      <c r="E813" s="175"/>
      <c r="F813" s="122"/>
      <c r="G813" s="122"/>
      <c r="H813" s="122"/>
      <c r="I813" s="122"/>
      <c r="J813" s="173"/>
      <c r="K813" s="181"/>
      <c r="L813" s="181"/>
      <c r="M813" s="181"/>
      <c r="N813" s="181"/>
      <c r="O813" s="181"/>
      <c r="P813" s="181"/>
      <c r="Q813" s="181"/>
      <c r="R813" s="181"/>
      <c r="S813" s="181"/>
      <c r="T813" s="181"/>
      <c r="U813" s="181"/>
      <c r="V813" s="181"/>
      <c r="W813" s="181"/>
      <c r="X813" s="181"/>
      <c r="Y813" s="181"/>
    </row>
    <row r="814" spans="1:25" ht="15.75" hidden="1" customHeight="1" x14ac:dyDescent="0.2">
      <c r="A814" s="181"/>
      <c r="B814" s="174"/>
      <c r="C814" s="175"/>
      <c r="D814" s="175"/>
      <c r="E814" s="175"/>
      <c r="F814" s="122"/>
      <c r="G814" s="122"/>
      <c r="H814" s="122"/>
      <c r="I814" s="122"/>
      <c r="J814" s="173"/>
      <c r="K814" s="181"/>
      <c r="L814" s="181"/>
      <c r="M814" s="181"/>
      <c r="N814" s="181"/>
      <c r="O814" s="181"/>
      <c r="P814" s="181"/>
      <c r="Q814" s="181"/>
      <c r="R814" s="181"/>
      <c r="S814" s="181"/>
      <c r="T814" s="181"/>
      <c r="U814" s="181"/>
      <c r="V814" s="181"/>
      <c r="W814" s="181"/>
      <c r="X814" s="181"/>
      <c r="Y814" s="181"/>
    </row>
    <row r="815" spans="1:25" ht="15.75" hidden="1" customHeight="1" x14ac:dyDescent="0.2">
      <c r="A815" s="181"/>
      <c r="B815" s="174"/>
      <c r="C815" s="175"/>
      <c r="D815" s="175"/>
      <c r="E815" s="175"/>
      <c r="F815" s="122"/>
      <c r="G815" s="122"/>
      <c r="H815" s="122"/>
      <c r="I815" s="122"/>
      <c r="J815" s="173"/>
      <c r="K815" s="181"/>
      <c r="L815" s="181"/>
      <c r="M815" s="181"/>
      <c r="N815" s="181"/>
      <c r="O815" s="181"/>
      <c r="P815" s="181"/>
      <c r="Q815" s="181"/>
      <c r="R815" s="181"/>
      <c r="S815" s="181"/>
      <c r="T815" s="181"/>
      <c r="U815" s="181"/>
      <c r="V815" s="181"/>
      <c r="W815" s="181"/>
      <c r="X815" s="181"/>
      <c r="Y815" s="181"/>
    </row>
    <row r="816" spans="1:25" ht="15.75" hidden="1" customHeight="1" x14ac:dyDescent="0.2">
      <c r="A816" s="181"/>
      <c r="B816" s="174"/>
      <c r="C816" s="175"/>
      <c r="D816" s="175"/>
      <c r="E816" s="175"/>
      <c r="F816" s="122"/>
      <c r="G816" s="122"/>
      <c r="H816" s="122"/>
      <c r="I816" s="122"/>
      <c r="J816" s="173"/>
      <c r="K816" s="181"/>
      <c r="L816" s="181"/>
      <c r="M816" s="181"/>
      <c r="N816" s="181"/>
      <c r="O816" s="181"/>
      <c r="P816" s="181"/>
      <c r="Q816" s="181"/>
      <c r="R816" s="181"/>
      <c r="S816" s="181"/>
      <c r="T816" s="181"/>
      <c r="U816" s="181"/>
      <c r="V816" s="181"/>
      <c r="W816" s="181"/>
      <c r="X816" s="181"/>
      <c r="Y816" s="181"/>
    </row>
    <row r="817" spans="1:25" ht="15.75" hidden="1" customHeight="1" x14ac:dyDescent="0.2">
      <c r="A817" s="181"/>
      <c r="B817" s="174"/>
      <c r="C817" s="175"/>
      <c r="D817" s="175"/>
      <c r="E817" s="175"/>
      <c r="F817" s="122"/>
      <c r="G817" s="122"/>
      <c r="H817" s="122"/>
      <c r="I817" s="122"/>
      <c r="J817" s="173"/>
      <c r="K817" s="181"/>
      <c r="L817" s="181"/>
      <c r="M817" s="181"/>
      <c r="N817" s="181"/>
      <c r="O817" s="181"/>
      <c r="P817" s="181"/>
      <c r="Q817" s="181"/>
      <c r="R817" s="181"/>
      <c r="S817" s="181"/>
      <c r="T817" s="181"/>
      <c r="U817" s="181"/>
      <c r="V817" s="181"/>
      <c r="W817" s="181"/>
      <c r="X817" s="181"/>
      <c r="Y817" s="181"/>
    </row>
    <row r="818" spans="1:25" ht="15.75" hidden="1" customHeight="1" x14ac:dyDescent="0.2">
      <c r="A818" s="181"/>
      <c r="B818" s="174"/>
      <c r="C818" s="175"/>
      <c r="D818" s="175"/>
      <c r="E818" s="175"/>
      <c r="F818" s="122"/>
      <c r="G818" s="122"/>
      <c r="H818" s="122"/>
      <c r="I818" s="122"/>
      <c r="J818" s="173"/>
      <c r="K818" s="181"/>
      <c r="L818" s="181"/>
      <c r="M818" s="181"/>
      <c r="N818" s="181"/>
      <c r="O818" s="181"/>
      <c r="P818" s="181"/>
      <c r="Q818" s="181"/>
      <c r="R818" s="181"/>
      <c r="S818" s="181"/>
      <c r="T818" s="181"/>
      <c r="U818" s="181"/>
      <c r="V818" s="181"/>
      <c r="W818" s="181"/>
      <c r="X818" s="181"/>
      <c r="Y818" s="181"/>
    </row>
    <row r="819" spans="1:25" ht="15.75" hidden="1" customHeight="1" x14ac:dyDescent="0.2">
      <c r="A819" s="181"/>
      <c r="B819" s="174"/>
      <c r="C819" s="175"/>
      <c r="D819" s="175"/>
      <c r="E819" s="175"/>
      <c r="F819" s="122"/>
      <c r="G819" s="122"/>
      <c r="H819" s="122"/>
      <c r="I819" s="122"/>
      <c r="J819" s="173"/>
      <c r="K819" s="181"/>
      <c r="L819" s="181"/>
      <c r="M819" s="181"/>
      <c r="N819" s="181"/>
      <c r="O819" s="181"/>
      <c r="P819" s="181"/>
      <c r="Q819" s="181"/>
      <c r="R819" s="181"/>
      <c r="S819" s="181"/>
      <c r="T819" s="181"/>
      <c r="U819" s="181"/>
      <c r="V819" s="181"/>
      <c r="W819" s="181"/>
      <c r="X819" s="181"/>
      <c r="Y819" s="181"/>
    </row>
    <row r="820" spans="1:25" ht="15.75" hidden="1" customHeight="1" x14ac:dyDescent="0.2">
      <c r="A820" s="181"/>
      <c r="B820" s="174"/>
      <c r="C820" s="175"/>
      <c r="D820" s="175"/>
      <c r="E820" s="175"/>
      <c r="F820" s="122"/>
      <c r="G820" s="122"/>
      <c r="H820" s="122"/>
      <c r="I820" s="122"/>
      <c r="J820" s="173"/>
      <c r="K820" s="181"/>
      <c r="L820" s="181"/>
      <c r="M820" s="181"/>
      <c r="N820" s="181"/>
      <c r="O820" s="181"/>
      <c r="P820" s="181"/>
      <c r="Q820" s="181"/>
      <c r="R820" s="181"/>
      <c r="S820" s="181"/>
      <c r="T820" s="181"/>
      <c r="U820" s="181"/>
      <c r="V820" s="181"/>
      <c r="W820" s="181"/>
      <c r="X820" s="181"/>
      <c r="Y820" s="181"/>
    </row>
    <row r="821" spans="1:25" ht="15.75" hidden="1" customHeight="1" x14ac:dyDescent="0.2">
      <c r="A821" s="181"/>
      <c r="B821" s="174"/>
      <c r="C821" s="175"/>
      <c r="D821" s="175"/>
      <c r="E821" s="175"/>
      <c r="F821" s="122"/>
      <c r="G821" s="122"/>
      <c r="H821" s="122"/>
      <c r="I821" s="122"/>
      <c r="J821" s="173"/>
      <c r="K821" s="181"/>
      <c r="L821" s="181"/>
      <c r="M821" s="181"/>
      <c r="N821" s="181"/>
      <c r="O821" s="181"/>
      <c r="P821" s="181"/>
      <c r="Q821" s="181"/>
      <c r="R821" s="181"/>
      <c r="S821" s="181"/>
      <c r="T821" s="181"/>
      <c r="U821" s="181"/>
      <c r="V821" s="181"/>
      <c r="W821" s="181"/>
      <c r="X821" s="181"/>
      <c r="Y821" s="181"/>
    </row>
    <row r="822" spans="1:25" ht="15.75" hidden="1" customHeight="1" x14ac:dyDescent="0.2">
      <c r="A822" s="181"/>
      <c r="B822" s="174"/>
      <c r="C822" s="175"/>
      <c r="D822" s="175"/>
      <c r="E822" s="175"/>
      <c r="F822" s="122"/>
      <c r="G822" s="122"/>
      <c r="H822" s="122"/>
      <c r="I822" s="122"/>
      <c r="J822" s="173"/>
      <c r="K822" s="181"/>
      <c r="L822" s="181"/>
      <c r="M822" s="181"/>
      <c r="N822" s="181"/>
      <c r="O822" s="181"/>
      <c r="P822" s="181"/>
      <c r="Q822" s="181"/>
      <c r="R822" s="181"/>
      <c r="S822" s="181"/>
      <c r="T822" s="181"/>
      <c r="U822" s="181"/>
      <c r="V822" s="181"/>
      <c r="W822" s="181"/>
      <c r="X822" s="181"/>
      <c r="Y822" s="181"/>
    </row>
    <row r="823" spans="1:25" ht="15.75" hidden="1" customHeight="1" x14ac:dyDescent="0.2">
      <c r="A823" s="181"/>
      <c r="B823" s="174"/>
      <c r="C823" s="175"/>
      <c r="D823" s="175"/>
      <c r="E823" s="175"/>
      <c r="F823" s="122"/>
      <c r="G823" s="122"/>
      <c r="H823" s="122"/>
      <c r="I823" s="122"/>
      <c r="J823" s="173"/>
      <c r="K823" s="181"/>
      <c r="L823" s="181"/>
      <c r="M823" s="181"/>
      <c r="N823" s="181"/>
      <c r="O823" s="181"/>
      <c r="P823" s="181"/>
      <c r="Q823" s="181"/>
      <c r="R823" s="181"/>
      <c r="S823" s="181"/>
      <c r="T823" s="181"/>
      <c r="U823" s="181"/>
      <c r="V823" s="181"/>
      <c r="W823" s="181"/>
      <c r="X823" s="181"/>
      <c r="Y823" s="181"/>
    </row>
    <row r="824" spans="1:25" ht="15.75" hidden="1" customHeight="1" x14ac:dyDescent="0.2">
      <c r="A824" s="181"/>
      <c r="B824" s="174"/>
      <c r="C824" s="175"/>
      <c r="D824" s="175"/>
      <c r="E824" s="175"/>
      <c r="F824" s="122"/>
      <c r="G824" s="122"/>
      <c r="H824" s="122"/>
      <c r="I824" s="122"/>
      <c r="J824" s="173"/>
      <c r="K824" s="181"/>
      <c r="L824" s="181"/>
      <c r="M824" s="181"/>
      <c r="N824" s="181"/>
      <c r="O824" s="181"/>
      <c r="P824" s="181"/>
      <c r="Q824" s="181"/>
      <c r="R824" s="181"/>
      <c r="S824" s="181"/>
      <c r="T824" s="181"/>
      <c r="U824" s="181"/>
      <c r="V824" s="181"/>
      <c r="W824" s="181"/>
      <c r="X824" s="181"/>
      <c r="Y824" s="181"/>
    </row>
    <row r="825" spans="1:25" ht="15.75" hidden="1" customHeight="1" x14ac:dyDescent="0.2">
      <c r="A825" s="181"/>
      <c r="B825" s="174"/>
      <c r="C825" s="175"/>
      <c r="D825" s="175"/>
      <c r="E825" s="175"/>
      <c r="F825" s="122"/>
      <c r="G825" s="122"/>
      <c r="H825" s="122"/>
      <c r="I825" s="122"/>
      <c r="J825" s="173"/>
      <c r="K825" s="181"/>
      <c r="L825" s="181"/>
      <c r="M825" s="181"/>
      <c r="N825" s="181"/>
      <c r="O825" s="181"/>
      <c r="P825" s="181"/>
      <c r="Q825" s="181"/>
      <c r="R825" s="181"/>
      <c r="S825" s="181"/>
      <c r="T825" s="181"/>
      <c r="U825" s="181"/>
      <c r="V825" s="181"/>
      <c r="W825" s="181"/>
      <c r="X825" s="181"/>
      <c r="Y825" s="181"/>
    </row>
    <row r="826" spans="1:25" ht="15.75" hidden="1" customHeight="1" x14ac:dyDescent="0.2">
      <c r="A826" s="181"/>
      <c r="B826" s="174"/>
      <c r="C826" s="175"/>
      <c r="D826" s="175"/>
      <c r="E826" s="175"/>
      <c r="F826" s="122"/>
      <c r="G826" s="122"/>
      <c r="H826" s="122"/>
      <c r="I826" s="122"/>
      <c r="J826" s="173"/>
      <c r="K826" s="181"/>
      <c r="L826" s="181"/>
      <c r="M826" s="181"/>
      <c r="N826" s="181"/>
      <c r="O826" s="181"/>
      <c r="P826" s="181"/>
      <c r="Q826" s="181"/>
      <c r="R826" s="181"/>
      <c r="S826" s="181"/>
      <c r="T826" s="181"/>
      <c r="U826" s="181"/>
      <c r="V826" s="181"/>
      <c r="W826" s="181"/>
      <c r="X826" s="181"/>
      <c r="Y826" s="181"/>
    </row>
    <row r="827" spans="1:25" ht="15.75" hidden="1" customHeight="1" x14ac:dyDescent="0.2">
      <c r="A827" s="181"/>
      <c r="B827" s="174"/>
      <c r="C827" s="175"/>
      <c r="D827" s="175"/>
      <c r="E827" s="175"/>
      <c r="F827" s="122"/>
      <c r="G827" s="122"/>
      <c r="H827" s="122"/>
      <c r="I827" s="122"/>
      <c r="J827" s="173"/>
      <c r="K827" s="181"/>
      <c r="L827" s="181"/>
      <c r="M827" s="181"/>
      <c r="N827" s="181"/>
      <c r="O827" s="181"/>
      <c r="P827" s="181"/>
      <c r="Q827" s="181"/>
      <c r="R827" s="181"/>
      <c r="S827" s="181"/>
      <c r="T827" s="181"/>
      <c r="U827" s="181"/>
      <c r="V827" s="181"/>
      <c r="W827" s="181"/>
      <c r="X827" s="181"/>
      <c r="Y827" s="181"/>
    </row>
    <row r="828" spans="1:25" ht="15.75" hidden="1" customHeight="1" x14ac:dyDescent="0.2">
      <c r="A828" s="181"/>
      <c r="B828" s="174"/>
      <c r="C828" s="175"/>
      <c r="D828" s="175"/>
      <c r="E828" s="175"/>
      <c r="F828" s="122"/>
      <c r="G828" s="122"/>
      <c r="H828" s="122"/>
      <c r="I828" s="122"/>
      <c r="J828" s="173"/>
      <c r="K828" s="181"/>
      <c r="L828" s="181"/>
      <c r="M828" s="181"/>
      <c r="N828" s="181"/>
      <c r="O828" s="181"/>
      <c r="P828" s="181"/>
      <c r="Q828" s="181"/>
      <c r="R828" s="181"/>
      <c r="S828" s="181"/>
      <c r="T828" s="181"/>
      <c r="U828" s="181"/>
      <c r="V828" s="181"/>
      <c r="W828" s="181"/>
      <c r="X828" s="181"/>
      <c r="Y828" s="181"/>
    </row>
    <row r="829" spans="1:25" ht="15.75" hidden="1" customHeight="1" x14ac:dyDescent="0.2">
      <c r="A829" s="181"/>
      <c r="B829" s="174"/>
      <c r="C829" s="175"/>
      <c r="D829" s="175"/>
      <c r="E829" s="175"/>
      <c r="F829" s="122"/>
      <c r="G829" s="122"/>
      <c r="H829" s="122"/>
      <c r="I829" s="122"/>
      <c r="J829" s="173"/>
      <c r="K829" s="181"/>
      <c r="L829" s="181"/>
      <c r="M829" s="181"/>
      <c r="N829" s="181"/>
      <c r="O829" s="181"/>
      <c r="P829" s="181"/>
      <c r="Q829" s="181"/>
      <c r="R829" s="181"/>
      <c r="S829" s="181"/>
      <c r="T829" s="181"/>
      <c r="U829" s="181"/>
      <c r="V829" s="181"/>
      <c r="W829" s="181"/>
      <c r="X829" s="181"/>
      <c r="Y829" s="181"/>
    </row>
    <row r="830" spans="1:25" ht="15.75" hidden="1" customHeight="1" x14ac:dyDescent="0.2">
      <c r="A830" s="181"/>
      <c r="B830" s="174"/>
      <c r="C830" s="175"/>
      <c r="D830" s="175"/>
      <c r="E830" s="175"/>
      <c r="F830" s="122"/>
      <c r="G830" s="122"/>
      <c r="H830" s="122"/>
      <c r="I830" s="122"/>
      <c r="J830" s="173"/>
      <c r="K830" s="181"/>
      <c r="L830" s="181"/>
      <c r="M830" s="181"/>
      <c r="N830" s="181"/>
      <c r="O830" s="181"/>
      <c r="P830" s="181"/>
      <c r="Q830" s="181"/>
      <c r="R830" s="181"/>
      <c r="S830" s="181"/>
      <c r="T830" s="181"/>
      <c r="U830" s="181"/>
      <c r="V830" s="181"/>
      <c r="W830" s="181"/>
      <c r="X830" s="181"/>
      <c r="Y830" s="181"/>
    </row>
    <row r="831" spans="1:25" ht="15.75" hidden="1" customHeight="1" x14ac:dyDescent="0.2">
      <c r="A831" s="181"/>
      <c r="B831" s="174"/>
      <c r="C831" s="175"/>
      <c r="D831" s="175"/>
      <c r="E831" s="175"/>
      <c r="F831" s="122"/>
      <c r="G831" s="122"/>
      <c r="H831" s="122"/>
      <c r="I831" s="122"/>
      <c r="J831" s="173"/>
      <c r="K831" s="181"/>
      <c r="L831" s="181"/>
      <c r="M831" s="181"/>
      <c r="N831" s="181"/>
      <c r="O831" s="181"/>
      <c r="P831" s="181"/>
      <c r="Q831" s="181"/>
      <c r="R831" s="181"/>
      <c r="S831" s="181"/>
      <c r="T831" s="181"/>
      <c r="U831" s="181"/>
      <c r="V831" s="181"/>
      <c r="W831" s="181"/>
      <c r="X831" s="181"/>
      <c r="Y831" s="181"/>
    </row>
    <row r="832" spans="1:25" ht="15.75" hidden="1" customHeight="1" x14ac:dyDescent="0.2">
      <c r="A832" s="181"/>
      <c r="B832" s="174"/>
      <c r="C832" s="175"/>
      <c r="D832" s="175"/>
      <c r="E832" s="175"/>
      <c r="F832" s="122"/>
      <c r="G832" s="122"/>
      <c r="H832" s="122"/>
      <c r="I832" s="122"/>
      <c r="J832" s="173"/>
      <c r="K832" s="181"/>
      <c r="L832" s="181"/>
      <c r="M832" s="181"/>
      <c r="N832" s="181"/>
      <c r="O832" s="181"/>
      <c r="P832" s="181"/>
      <c r="Q832" s="181"/>
      <c r="R832" s="181"/>
      <c r="S832" s="181"/>
      <c r="T832" s="181"/>
      <c r="U832" s="181"/>
      <c r="V832" s="181"/>
      <c r="W832" s="181"/>
      <c r="X832" s="181"/>
      <c r="Y832" s="181"/>
    </row>
    <row r="833" spans="1:25" ht="15.75" hidden="1" customHeight="1" x14ac:dyDescent="0.2">
      <c r="A833" s="181"/>
      <c r="B833" s="174"/>
      <c r="C833" s="175"/>
      <c r="D833" s="175"/>
      <c r="E833" s="175"/>
      <c r="F833" s="122"/>
      <c r="G833" s="122"/>
      <c r="H833" s="122"/>
      <c r="I833" s="122"/>
      <c r="J833" s="173"/>
      <c r="K833" s="181"/>
      <c r="L833" s="181"/>
      <c r="M833" s="181"/>
      <c r="N833" s="181"/>
      <c r="O833" s="181"/>
      <c r="P833" s="181"/>
      <c r="Q833" s="181"/>
      <c r="R833" s="181"/>
      <c r="S833" s="181"/>
      <c r="T833" s="181"/>
      <c r="U833" s="181"/>
      <c r="V833" s="181"/>
      <c r="W833" s="181"/>
      <c r="X833" s="181"/>
      <c r="Y833" s="181"/>
    </row>
    <row r="834" spans="1:25" ht="15.75" hidden="1" customHeight="1" x14ac:dyDescent="0.2">
      <c r="A834" s="181"/>
      <c r="B834" s="174"/>
      <c r="C834" s="175"/>
      <c r="D834" s="175"/>
      <c r="E834" s="175"/>
      <c r="F834" s="122"/>
      <c r="G834" s="122"/>
      <c r="H834" s="122"/>
      <c r="I834" s="122"/>
      <c r="J834" s="173"/>
      <c r="K834" s="181"/>
      <c r="L834" s="181"/>
      <c r="M834" s="181"/>
      <c r="N834" s="181"/>
      <c r="O834" s="181"/>
      <c r="P834" s="181"/>
      <c r="Q834" s="181"/>
      <c r="R834" s="181"/>
      <c r="S834" s="181"/>
      <c r="T834" s="181"/>
      <c r="U834" s="181"/>
      <c r="V834" s="181"/>
      <c r="W834" s="181"/>
      <c r="X834" s="181"/>
      <c r="Y834" s="181"/>
    </row>
    <row r="835" spans="1:25" ht="15.75" hidden="1" customHeight="1" x14ac:dyDescent="0.2">
      <c r="A835" s="181"/>
      <c r="B835" s="174"/>
      <c r="C835" s="175"/>
      <c r="D835" s="175"/>
      <c r="E835" s="175"/>
      <c r="F835" s="122"/>
      <c r="G835" s="122"/>
      <c r="H835" s="122"/>
      <c r="I835" s="122"/>
      <c r="J835" s="173"/>
      <c r="K835" s="181"/>
      <c r="L835" s="181"/>
      <c r="M835" s="181"/>
      <c r="N835" s="181"/>
      <c r="O835" s="181"/>
      <c r="P835" s="181"/>
      <c r="Q835" s="181"/>
      <c r="R835" s="181"/>
      <c r="S835" s="181"/>
      <c r="T835" s="181"/>
      <c r="U835" s="181"/>
      <c r="V835" s="181"/>
      <c r="W835" s="181"/>
      <c r="X835" s="181"/>
      <c r="Y835" s="181"/>
    </row>
    <row r="836" spans="1:25" ht="15.75" hidden="1" customHeight="1" x14ac:dyDescent="0.2">
      <c r="A836" s="181"/>
      <c r="B836" s="174"/>
      <c r="C836" s="175"/>
      <c r="D836" s="175"/>
      <c r="E836" s="175"/>
      <c r="F836" s="122"/>
      <c r="G836" s="122"/>
      <c r="H836" s="122"/>
      <c r="I836" s="122"/>
      <c r="J836" s="173"/>
      <c r="K836" s="181"/>
      <c r="L836" s="181"/>
      <c r="M836" s="181"/>
      <c r="N836" s="181"/>
      <c r="O836" s="181"/>
      <c r="P836" s="181"/>
      <c r="Q836" s="181"/>
      <c r="R836" s="181"/>
      <c r="S836" s="181"/>
      <c r="T836" s="181"/>
      <c r="U836" s="181"/>
      <c r="V836" s="181"/>
      <c r="W836" s="181"/>
      <c r="X836" s="181"/>
      <c r="Y836" s="181"/>
    </row>
    <row r="837" spans="1:25" ht="15.75" hidden="1" customHeight="1" x14ac:dyDescent="0.2">
      <c r="A837" s="181"/>
      <c r="B837" s="174"/>
      <c r="C837" s="175"/>
      <c r="D837" s="175"/>
      <c r="E837" s="175"/>
      <c r="F837" s="122"/>
      <c r="G837" s="122"/>
      <c r="H837" s="122"/>
      <c r="I837" s="122"/>
      <c r="J837" s="173"/>
      <c r="K837" s="181"/>
      <c r="L837" s="181"/>
      <c r="M837" s="181"/>
      <c r="N837" s="181"/>
      <c r="O837" s="181"/>
      <c r="P837" s="181"/>
      <c r="Q837" s="181"/>
      <c r="R837" s="181"/>
      <c r="S837" s="181"/>
      <c r="T837" s="181"/>
      <c r="U837" s="181"/>
      <c r="V837" s="181"/>
      <c r="W837" s="181"/>
      <c r="X837" s="181"/>
      <c r="Y837" s="181"/>
    </row>
    <row r="838" spans="1:25" ht="15.75" hidden="1" customHeight="1" x14ac:dyDescent="0.2">
      <c r="A838" s="181"/>
      <c r="B838" s="174"/>
      <c r="C838" s="175"/>
      <c r="D838" s="175"/>
      <c r="E838" s="175"/>
      <c r="F838" s="122"/>
      <c r="G838" s="122"/>
      <c r="H838" s="122"/>
      <c r="I838" s="122"/>
      <c r="J838" s="173"/>
      <c r="K838" s="181"/>
      <c r="L838" s="181"/>
      <c r="M838" s="181"/>
      <c r="N838" s="181"/>
      <c r="O838" s="181"/>
      <c r="P838" s="181"/>
      <c r="Q838" s="181"/>
      <c r="R838" s="181"/>
      <c r="S838" s="181"/>
      <c r="T838" s="181"/>
      <c r="U838" s="181"/>
      <c r="V838" s="181"/>
      <c r="W838" s="181"/>
      <c r="X838" s="181"/>
      <c r="Y838" s="181"/>
    </row>
    <row r="839" spans="1:25" ht="15.75" hidden="1" customHeight="1" x14ac:dyDescent="0.2">
      <c r="A839" s="181"/>
      <c r="B839" s="174"/>
      <c r="C839" s="175"/>
      <c r="D839" s="175"/>
      <c r="E839" s="175"/>
      <c r="F839" s="122"/>
      <c r="G839" s="122"/>
      <c r="H839" s="122"/>
      <c r="I839" s="122"/>
      <c r="J839" s="173"/>
      <c r="K839" s="181"/>
      <c r="L839" s="181"/>
      <c r="M839" s="181"/>
      <c r="N839" s="181"/>
      <c r="O839" s="181"/>
      <c r="P839" s="181"/>
      <c r="Q839" s="181"/>
      <c r="R839" s="181"/>
      <c r="S839" s="181"/>
      <c r="T839" s="181"/>
      <c r="U839" s="181"/>
      <c r="V839" s="181"/>
      <c r="W839" s="181"/>
      <c r="X839" s="181"/>
      <c r="Y839" s="181"/>
    </row>
    <row r="840" spans="1:25" ht="15.75" hidden="1" customHeight="1" x14ac:dyDescent="0.2">
      <c r="A840" s="181"/>
      <c r="B840" s="174"/>
      <c r="C840" s="175"/>
      <c r="D840" s="175"/>
      <c r="E840" s="175"/>
      <c r="F840" s="122"/>
      <c r="G840" s="122"/>
      <c r="H840" s="122"/>
      <c r="I840" s="122"/>
      <c r="J840" s="173"/>
      <c r="K840" s="181"/>
      <c r="L840" s="181"/>
      <c r="M840" s="181"/>
      <c r="N840" s="181"/>
      <c r="O840" s="181"/>
      <c r="P840" s="181"/>
      <c r="Q840" s="181"/>
      <c r="R840" s="181"/>
      <c r="S840" s="181"/>
      <c r="T840" s="181"/>
      <c r="U840" s="181"/>
      <c r="V840" s="181"/>
      <c r="W840" s="181"/>
      <c r="X840" s="181"/>
      <c r="Y840" s="181"/>
    </row>
    <row r="841" spans="1:25" ht="15.75" hidden="1" customHeight="1" x14ac:dyDescent="0.2">
      <c r="A841" s="181"/>
      <c r="B841" s="174"/>
      <c r="C841" s="175"/>
      <c r="D841" s="175"/>
      <c r="E841" s="175"/>
      <c r="F841" s="122"/>
      <c r="G841" s="122"/>
      <c r="H841" s="122"/>
      <c r="I841" s="122"/>
      <c r="J841" s="173"/>
      <c r="K841" s="181"/>
      <c r="L841" s="181"/>
      <c r="M841" s="181"/>
      <c r="N841" s="181"/>
      <c r="O841" s="181"/>
      <c r="P841" s="181"/>
      <c r="Q841" s="181"/>
      <c r="R841" s="181"/>
      <c r="S841" s="181"/>
      <c r="T841" s="181"/>
      <c r="U841" s="181"/>
      <c r="V841" s="181"/>
      <c r="W841" s="181"/>
      <c r="X841" s="181"/>
      <c r="Y841" s="181"/>
    </row>
    <row r="842" spans="1:25" ht="15.75" hidden="1" customHeight="1" x14ac:dyDescent="0.2">
      <c r="A842" s="181"/>
      <c r="B842" s="174"/>
      <c r="C842" s="175"/>
      <c r="D842" s="175"/>
      <c r="E842" s="175"/>
      <c r="F842" s="122"/>
      <c r="G842" s="122"/>
      <c r="H842" s="122"/>
      <c r="I842" s="122"/>
      <c r="J842" s="173"/>
      <c r="K842" s="181"/>
      <c r="L842" s="181"/>
      <c r="M842" s="181"/>
      <c r="N842" s="181"/>
      <c r="O842" s="181"/>
      <c r="P842" s="181"/>
      <c r="Q842" s="181"/>
      <c r="R842" s="181"/>
      <c r="S842" s="181"/>
      <c r="T842" s="181"/>
      <c r="U842" s="181"/>
      <c r="V842" s="181"/>
      <c r="W842" s="181"/>
      <c r="X842" s="181"/>
      <c r="Y842" s="181"/>
    </row>
    <row r="843" spans="1:25" ht="15.75" hidden="1" customHeight="1" x14ac:dyDescent="0.2">
      <c r="A843" s="181"/>
      <c r="B843" s="174"/>
      <c r="C843" s="175"/>
      <c r="D843" s="175"/>
      <c r="E843" s="175"/>
      <c r="F843" s="122"/>
      <c r="G843" s="122"/>
      <c r="H843" s="122"/>
      <c r="I843" s="122"/>
      <c r="J843" s="173"/>
      <c r="K843" s="181"/>
      <c r="L843" s="181"/>
      <c r="M843" s="181"/>
      <c r="N843" s="181"/>
      <c r="O843" s="181"/>
      <c r="P843" s="181"/>
      <c r="Q843" s="181"/>
      <c r="R843" s="181"/>
      <c r="S843" s="181"/>
      <c r="T843" s="181"/>
      <c r="U843" s="181"/>
      <c r="V843" s="181"/>
      <c r="W843" s="181"/>
      <c r="X843" s="181"/>
      <c r="Y843" s="181"/>
    </row>
    <row r="844" spans="1:25" ht="15.75" hidden="1" customHeight="1" x14ac:dyDescent="0.2">
      <c r="A844" s="181"/>
      <c r="B844" s="174"/>
      <c r="C844" s="175"/>
      <c r="D844" s="175"/>
      <c r="E844" s="175"/>
      <c r="F844" s="122"/>
      <c r="G844" s="122"/>
      <c r="H844" s="122"/>
      <c r="I844" s="122"/>
      <c r="J844" s="173"/>
      <c r="K844" s="181"/>
      <c r="L844" s="181"/>
      <c r="M844" s="181"/>
      <c r="N844" s="181"/>
      <c r="O844" s="181"/>
      <c r="P844" s="181"/>
      <c r="Q844" s="181"/>
      <c r="R844" s="181"/>
      <c r="S844" s="181"/>
      <c r="T844" s="181"/>
      <c r="U844" s="181"/>
      <c r="V844" s="181"/>
      <c r="W844" s="181"/>
      <c r="X844" s="181"/>
      <c r="Y844" s="181"/>
    </row>
    <row r="845" spans="1:25" ht="15.75" hidden="1" customHeight="1" x14ac:dyDescent="0.2">
      <c r="A845" s="181"/>
      <c r="B845" s="174"/>
      <c r="C845" s="175"/>
      <c r="D845" s="175"/>
      <c r="E845" s="175"/>
      <c r="F845" s="122"/>
      <c r="G845" s="122"/>
      <c r="H845" s="122"/>
      <c r="I845" s="122"/>
      <c r="J845" s="173"/>
      <c r="K845" s="181"/>
      <c r="L845" s="181"/>
      <c r="M845" s="181"/>
      <c r="N845" s="181"/>
      <c r="O845" s="181"/>
      <c r="P845" s="181"/>
      <c r="Q845" s="181"/>
      <c r="R845" s="181"/>
      <c r="S845" s="181"/>
      <c r="T845" s="181"/>
      <c r="U845" s="181"/>
      <c r="V845" s="181"/>
      <c r="W845" s="181"/>
      <c r="X845" s="181"/>
      <c r="Y845" s="181"/>
    </row>
    <row r="846" spans="1:25" ht="15.75" hidden="1" customHeight="1" x14ac:dyDescent="0.2">
      <c r="A846" s="181"/>
      <c r="B846" s="174"/>
      <c r="C846" s="175"/>
      <c r="D846" s="175"/>
      <c r="E846" s="175"/>
      <c r="F846" s="122"/>
      <c r="G846" s="122"/>
      <c r="H846" s="122"/>
      <c r="I846" s="122"/>
      <c r="J846" s="173"/>
      <c r="K846" s="181"/>
      <c r="L846" s="181"/>
      <c r="M846" s="181"/>
      <c r="N846" s="181"/>
      <c r="O846" s="181"/>
      <c r="P846" s="181"/>
      <c r="Q846" s="181"/>
      <c r="R846" s="181"/>
      <c r="S846" s="181"/>
      <c r="T846" s="181"/>
      <c r="U846" s="181"/>
      <c r="V846" s="181"/>
      <c r="W846" s="181"/>
      <c r="X846" s="181"/>
      <c r="Y846" s="181"/>
    </row>
    <row r="847" spans="1:25" ht="15.75" hidden="1" customHeight="1" x14ac:dyDescent="0.2">
      <c r="A847" s="181"/>
      <c r="B847" s="174"/>
      <c r="C847" s="175"/>
      <c r="D847" s="175"/>
      <c r="E847" s="175"/>
      <c r="F847" s="122"/>
      <c r="G847" s="122"/>
      <c r="H847" s="122"/>
      <c r="I847" s="122"/>
      <c r="J847" s="173"/>
      <c r="K847" s="181"/>
      <c r="L847" s="181"/>
      <c r="M847" s="181"/>
      <c r="N847" s="181"/>
      <c r="O847" s="181"/>
      <c r="P847" s="181"/>
      <c r="Q847" s="181"/>
      <c r="R847" s="181"/>
      <c r="S847" s="181"/>
      <c r="T847" s="181"/>
      <c r="U847" s="181"/>
      <c r="V847" s="181"/>
      <c r="W847" s="181"/>
      <c r="X847" s="181"/>
      <c r="Y847" s="181"/>
    </row>
    <row r="848" spans="1:25" ht="15.75" hidden="1" customHeight="1" x14ac:dyDescent="0.2">
      <c r="A848" s="181"/>
      <c r="B848" s="174"/>
      <c r="C848" s="175"/>
      <c r="D848" s="175"/>
      <c r="E848" s="175"/>
      <c r="F848" s="122"/>
      <c r="G848" s="122"/>
      <c r="H848" s="122"/>
      <c r="I848" s="122"/>
      <c r="J848" s="173"/>
      <c r="K848" s="181"/>
      <c r="L848" s="181"/>
      <c r="M848" s="181"/>
      <c r="N848" s="181"/>
      <c r="O848" s="181"/>
      <c r="P848" s="181"/>
      <c r="Q848" s="181"/>
      <c r="R848" s="181"/>
      <c r="S848" s="181"/>
      <c r="T848" s="181"/>
      <c r="U848" s="181"/>
      <c r="V848" s="181"/>
      <c r="W848" s="181"/>
      <c r="X848" s="181"/>
      <c r="Y848" s="181"/>
    </row>
    <row r="849" spans="1:25" ht="15.75" hidden="1" customHeight="1" x14ac:dyDescent="0.2">
      <c r="A849" s="181"/>
      <c r="B849" s="174"/>
      <c r="C849" s="175"/>
      <c r="D849" s="175"/>
      <c r="E849" s="175"/>
      <c r="F849" s="122"/>
      <c r="G849" s="122"/>
      <c r="H849" s="122"/>
      <c r="I849" s="122"/>
      <c r="J849" s="173"/>
      <c r="K849" s="181"/>
      <c r="L849" s="181"/>
      <c r="M849" s="181"/>
      <c r="N849" s="181"/>
      <c r="O849" s="181"/>
      <c r="P849" s="181"/>
      <c r="Q849" s="181"/>
      <c r="R849" s="181"/>
      <c r="S849" s="181"/>
      <c r="T849" s="181"/>
      <c r="U849" s="181"/>
      <c r="V849" s="181"/>
      <c r="W849" s="181"/>
      <c r="X849" s="181"/>
      <c r="Y849" s="181"/>
    </row>
    <row r="850" spans="1:25" ht="15.75" hidden="1" customHeight="1" x14ac:dyDescent="0.2">
      <c r="A850" s="181"/>
      <c r="B850" s="174"/>
      <c r="C850" s="175"/>
      <c r="D850" s="175"/>
      <c r="E850" s="175"/>
      <c r="F850" s="122"/>
      <c r="G850" s="122"/>
      <c r="H850" s="122"/>
      <c r="I850" s="122"/>
      <c r="J850" s="173"/>
      <c r="K850" s="181"/>
      <c r="L850" s="181"/>
      <c r="M850" s="181"/>
      <c r="N850" s="181"/>
      <c r="O850" s="181"/>
      <c r="P850" s="181"/>
      <c r="Q850" s="181"/>
      <c r="R850" s="181"/>
      <c r="S850" s="181"/>
      <c r="T850" s="181"/>
      <c r="U850" s="181"/>
      <c r="V850" s="181"/>
      <c r="W850" s="181"/>
      <c r="X850" s="181"/>
      <c r="Y850" s="181"/>
    </row>
    <row r="851" spans="1:25" ht="15.75" hidden="1" customHeight="1" x14ac:dyDescent="0.2">
      <c r="A851" s="181"/>
      <c r="B851" s="174"/>
      <c r="C851" s="175"/>
      <c r="D851" s="175"/>
      <c r="E851" s="175"/>
      <c r="F851" s="122"/>
      <c r="G851" s="122"/>
      <c r="H851" s="122"/>
      <c r="I851" s="122"/>
      <c r="J851" s="173"/>
      <c r="K851" s="181"/>
      <c r="L851" s="181"/>
      <c r="M851" s="181"/>
      <c r="N851" s="181"/>
      <c r="O851" s="181"/>
      <c r="P851" s="181"/>
      <c r="Q851" s="181"/>
      <c r="R851" s="181"/>
      <c r="S851" s="181"/>
      <c r="T851" s="181"/>
      <c r="U851" s="181"/>
      <c r="V851" s="181"/>
      <c r="W851" s="181"/>
      <c r="X851" s="181"/>
      <c r="Y851" s="181"/>
    </row>
    <row r="852" spans="1:25" ht="15.75" hidden="1" customHeight="1" x14ac:dyDescent="0.2">
      <c r="A852" s="181"/>
      <c r="B852" s="174"/>
      <c r="C852" s="175"/>
      <c r="D852" s="175"/>
      <c r="E852" s="175"/>
      <c r="F852" s="122"/>
      <c r="G852" s="122"/>
      <c r="H852" s="122"/>
      <c r="I852" s="122"/>
      <c r="J852" s="173"/>
      <c r="K852" s="181"/>
      <c r="L852" s="181"/>
      <c r="M852" s="181"/>
      <c r="N852" s="181"/>
      <c r="O852" s="181"/>
      <c r="P852" s="181"/>
      <c r="Q852" s="181"/>
      <c r="R852" s="181"/>
      <c r="S852" s="181"/>
      <c r="T852" s="181"/>
      <c r="U852" s="181"/>
      <c r="V852" s="181"/>
      <c r="W852" s="181"/>
      <c r="X852" s="181"/>
      <c r="Y852" s="181"/>
    </row>
    <row r="853" spans="1:25" ht="15.75" hidden="1" customHeight="1" x14ac:dyDescent="0.2">
      <c r="A853" s="181"/>
      <c r="B853" s="174"/>
      <c r="C853" s="175"/>
      <c r="D853" s="175"/>
      <c r="E853" s="175"/>
      <c r="F853" s="122"/>
      <c r="G853" s="122"/>
      <c r="H853" s="122"/>
      <c r="I853" s="122"/>
      <c r="J853" s="173"/>
      <c r="K853" s="181"/>
      <c r="L853" s="181"/>
      <c r="M853" s="181"/>
      <c r="N853" s="181"/>
      <c r="O853" s="181"/>
      <c r="P853" s="181"/>
      <c r="Q853" s="181"/>
      <c r="R853" s="181"/>
      <c r="S853" s="181"/>
      <c r="T853" s="181"/>
      <c r="U853" s="181"/>
      <c r="V853" s="181"/>
      <c r="W853" s="181"/>
      <c r="X853" s="181"/>
      <c r="Y853" s="181"/>
    </row>
    <row r="854" spans="1:25" ht="15.75" hidden="1" customHeight="1" x14ac:dyDescent="0.2">
      <c r="A854" s="181"/>
      <c r="B854" s="174"/>
      <c r="C854" s="175"/>
      <c r="D854" s="175"/>
      <c r="E854" s="175"/>
      <c r="F854" s="122"/>
      <c r="G854" s="122"/>
      <c r="H854" s="122"/>
      <c r="I854" s="122"/>
      <c r="J854" s="173"/>
      <c r="K854" s="181"/>
      <c r="L854" s="181"/>
      <c r="M854" s="181"/>
      <c r="N854" s="181"/>
      <c r="O854" s="181"/>
      <c r="P854" s="181"/>
      <c r="Q854" s="181"/>
      <c r="R854" s="181"/>
      <c r="S854" s="181"/>
      <c r="T854" s="181"/>
      <c r="U854" s="181"/>
      <c r="V854" s="181"/>
      <c r="W854" s="181"/>
      <c r="X854" s="181"/>
      <c r="Y854" s="181"/>
    </row>
    <row r="855" spans="1:25" ht="15.75" hidden="1" customHeight="1" x14ac:dyDescent="0.2">
      <c r="A855" s="181"/>
      <c r="B855" s="174"/>
      <c r="C855" s="175"/>
      <c r="D855" s="175"/>
      <c r="E855" s="175"/>
      <c r="F855" s="122"/>
      <c r="G855" s="122"/>
      <c r="H855" s="122"/>
      <c r="I855" s="122"/>
      <c r="J855" s="173"/>
      <c r="K855" s="181"/>
      <c r="L855" s="181"/>
      <c r="M855" s="181"/>
      <c r="N855" s="181"/>
      <c r="O855" s="181"/>
      <c r="P855" s="181"/>
      <c r="Q855" s="181"/>
      <c r="R855" s="181"/>
      <c r="S855" s="181"/>
      <c r="T855" s="181"/>
      <c r="U855" s="181"/>
      <c r="V855" s="181"/>
      <c r="W855" s="181"/>
      <c r="X855" s="181"/>
      <c r="Y855" s="181"/>
    </row>
    <row r="856" spans="1:25" ht="15.75" hidden="1" customHeight="1" x14ac:dyDescent="0.2">
      <c r="A856" s="181"/>
      <c r="B856" s="174"/>
      <c r="C856" s="175"/>
      <c r="D856" s="175"/>
      <c r="E856" s="175"/>
      <c r="F856" s="122"/>
      <c r="G856" s="122"/>
      <c r="H856" s="122"/>
      <c r="I856" s="122"/>
      <c r="J856" s="173"/>
      <c r="K856" s="181"/>
      <c r="L856" s="181"/>
      <c r="M856" s="181"/>
      <c r="N856" s="181"/>
      <c r="O856" s="181"/>
      <c r="P856" s="181"/>
      <c r="Q856" s="181"/>
      <c r="R856" s="181"/>
      <c r="S856" s="181"/>
      <c r="T856" s="181"/>
      <c r="U856" s="181"/>
      <c r="V856" s="181"/>
      <c r="W856" s="181"/>
      <c r="X856" s="181"/>
      <c r="Y856" s="181"/>
    </row>
    <row r="857" spans="1:25" ht="15.75" hidden="1" customHeight="1" x14ac:dyDescent="0.2">
      <c r="A857" s="181"/>
      <c r="B857" s="174"/>
      <c r="C857" s="175"/>
      <c r="D857" s="175"/>
      <c r="E857" s="175"/>
      <c r="F857" s="122"/>
      <c r="G857" s="122"/>
      <c r="H857" s="122"/>
      <c r="I857" s="122"/>
      <c r="J857" s="173"/>
      <c r="K857" s="181"/>
      <c r="L857" s="181"/>
      <c r="M857" s="181"/>
      <c r="N857" s="181"/>
      <c r="O857" s="181"/>
      <c r="P857" s="181"/>
      <c r="Q857" s="181"/>
      <c r="R857" s="181"/>
      <c r="S857" s="181"/>
      <c r="T857" s="181"/>
      <c r="U857" s="181"/>
      <c r="V857" s="181"/>
      <c r="W857" s="181"/>
      <c r="X857" s="181"/>
      <c r="Y857" s="181"/>
    </row>
    <row r="858" spans="1:25" ht="15.75" hidden="1" customHeight="1" x14ac:dyDescent="0.2">
      <c r="A858" s="181"/>
      <c r="B858" s="174"/>
      <c r="C858" s="175"/>
      <c r="D858" s="175"/>
      <c r="E858" s="175"/>
      <c r="F858" s="122"/>
      <c r="G858" s="122"/>
      <c r="H858" s="122"/>
      <c r="I858" s="122"/>
      <c r="J858" s="173"/>
      <c r="K858" s="181"/>
      <c r="L858" s="181"/>
      <c r="M858" s="181"/>
      <c r="N858" s="181"/>
      <c r="O858" s="181"/>
      <c r="P858" s="181"/>
      <c r="Q858" s="181"/>
      <c r="R858" s="181"/>
      <c r="S858" s="181"/>
      <c r="T858" s="181"/>
      <c r="U858" s="181"/>
      <c r="V858" s="181"/>
      <c r="W858" s="181"/>
      <c r="X858" s="181"/>
      <c r="Y858" s="181"/>
    </row>
    <row r="859" spans="1:25" ht="15.75" hidden="1" customHeight="1" x14ac:dyDescent="0.2">
      <c r="A859" s="181"/>
      <c r="B859" s="174"/>
      <c r="C859" s="175"/>
      <c r="D859" s="175"/>
      <c r="E859" s="175"/>
      <c r="F859" s="122"/>
      <c r="G859" s="122"/>
      <c r="H859" s="122"/>
      <c r="I859" s="122"/>
      <c r="J859" s="173"/>
      <c r="K859" s="181"/>
      <c r="L859" s="181"/>
      <c r="M859" s="181"/>
      <c r="N859" s="181"/>
      <c r="O859" s="181"/>
      <c r="P859" s="181"/>
      <c r="Q859" s="181"/>
      <c r="R859" s="181"/>
      <c r="S859" s="181"/>
      <c r="T859" s="181"/>
      <c r="U859" s="181"/>
      <c r="V859" s="181"/>
      <c r="W859" s="181"/>
      <c r="X859" s="181"/>
      <c r="Y859" s="181"/>
    </row>
    <row r="860" spans="1:25" ht="15.75" hidden="1" customHeight="1" x14ac:dyDescent="0.2">
      <c r="A860" s="181"/>
      <c r="B860" s="174"/>
      <c r="C860" s="175"/>
      <c r="D860" s="175"/>
      <c r="E860" s="175"/>
      <c r="F860" s="122"/>
      <c r="G860" s="122"/>
      <c r="H860" s="122"/>
      <c r="I860" s="122"/>
      <c r="J860" s="173"/>
      <c r="K860" s="181"/>
      <c r="L860" s="181"/>
      <c r="M860" s="181"/>
      <c r="N860" s="181"/>
      <c r="O860" s="181"/>
      <c r="P860" s="181"/>
      <c r="Q860" s="181"/>
      <c r="R860" s="181"/>
      <c r="S860" s="181"/>
      <c r="T860" s="181"/>
      <c r="U860" s="181"/>
      <c r="V860" s="181"/>
      <c r="W860" s="181"/>
      <c r="X860" s="181"/>
      <c r="Y860" s="181"/>
    </row>
    <row r="861" spans="1:25" ht="15.75" hidden="1" customHeight="1" x14ac:dyDescent="0.2">
      <c r="A861" s="181"/>
      <c r="B861" s="174"/>
      <c r="C861" s="175"/>
      <c r="D861" s="175"/>
      <c r="E861" s="175"/>
      <c r="F861" s="122"/>
      <c r="G861" s="122"/>
      <c r="H861" s="122"/>
      <c r="I861" s="122"/>
      <c r="J861" s="173"/>
      <c r="K861" s="181"/>
      <c r="L861" s="181"/>
      <c r="M861" s="181"/>
      <c r="N861" s="181"/>
      <c r="O861" s="181"/>
      <c r="P861" s="181"/>
      <c r="Q861" s="181"/>
      <c r="R861" s="181"/>
      <c r="S861" s="181"/>
      <c r="T861" s="181"/>
      <c r="U861" s="181"/>
      <c r="V861" s="181"/>
      <c r="W861" s="181"/>
      <c r="X861" s="181"/>
      <c r="Y861" s="181"/>
    </row>
    <row r="862" spans="1:25" ht="15.75" hidden="1" customHeight="1" x14ac:dyDescent="0.2">
      <c r="A862" s="181"/>
      <c r="B862" s="174"/>
      <c r="C862" s="175"/>
      <c r="D862" s="175"/>
      <c r="E862" s="175"/>
      <c r="F862" s="122"/>
      <c r="G862" s="122"/>
      <c r="H862" s="122"/>
      <c r="I862" s="122"/>
      <c r="J862" s="173"/>
      <c r="K862" s="181"/>
      <c r="L862" s="181"/>
      <c r="M862" s="181"/>
      <c r="N862" s="181"/>
      <c r="O862" s="181"/>
      <c r="P862" s="181"/>
      <c r="Q862" s="181"/>
      <c r="R862" s="181"/>
      <c r="S862" s="181"/>
      <c r="T862" s="181"/>
      <c r="U862" s="181"/>
      <c r="V862" s="181"/>
      <c r="W862" s="181"/>
      <c r="X862" s="181"/>
      <c r="Y862" s="181"/>
    </row>
    <row r="863" spans="1:25" ht="15.75" hidden="1" customHeight="1" x14ac:dyDescent="0.2">
      <c r="A863" s="181"/>
      <c r="B863" s="174"/>
      <c r="C863" s="175"/>
      <c r="D863" s="175"/>
      <c r="E863" s="175"/>
      <c r="F863" s="122"/>
      <c r="G863" s="122"/>
      <c r="H863" s="122"/>
      <c r="I863" s="122"/>
      <c r="J863" s="173"/>
      <c r="K863" s="181"/>
      <c r="L863" s="181"/>
      <c r="M863" s="181"/>
      <c r="N863" s="181"/>
      <c r="O863" s="181"/>
      <c r="P863" s="181"/>
      <c r="Q863" s="181"/>
      <c r="R863" s="181"/>
      <c r="S863" s="181"/>
      <c r="T863" s="181"/>
      <c r="U863" s="181"/>
      <c r="V863" s="181"/>
      <c r="W863" s="181"/>
      <c r="X863" s="181"/>
      <c r="Y863" s="181"/>
    </row>
    <row r="864" spans="1:25" ht="15.75" hidden="1" customHeight="1" x14ac:dyDescent="0.2">
      <c r="A864" s="181"/>
      <c r="B864" s="174"/>
      <c r="C864" s="175"/>
      <c r="D864" s="175"/>
      <c r="E864" s="175"/>
      <c r="F864" s="122"/>
      <c r="G864" s="122"/>
      <c r="H864" s="122"/>
      <c r="I864" s="122"/>
      <c r="J864" s="173"/>
      <c r="K864" s="181"/>
      <c r="L864" s="181"/>
      <c r="M864" s="181"/>
      <c r="N864" s="181"/>
      <c r="O864" s="181"/>
      <c r="P864" s="181"/>
      <c r="Q864" s="181"/>
      <c r="R864" s="181"/>
      <c r="S864" s="181"/>
      <c r="T864" s="181"/>
      <c r="U864" s="181"/>
      <c r="V864" s="181"/>
      <c r="W864" s="181"/>
      <c r="X864" s="181"/>
      <c r="Y864" s="181"/>
    </row>
    <row r="865" spans="1:25" ht="15.75" hidden="1" customHeight="1" x14ac:dyDescent="0.2">
      <c r="A865" s="181"/>
      <c r="B865" s="174"/>
      <c r="C865" s="175"/>
      <c r="D865" s="175"/>
      <c r="E865" s="175"/>
      <c r="F865" s="122"/>
      <c r="G865" s="122"/>
      <c r="H865" s="122"/>
      <c r="I865" s="122"/>
      <c r="J865" s="173"/>
      <c r="K865" s="181"/>
      <c r="L865" s="181"/>
      <c r="M865" s="181"/>
      <c r="N865" s="181"/>
      <c r="O865" s="181"/>
      <c r="P865" s="181"/>
      <c r="Q865" s="181"/>
      <c r="R865" s="181"/>
      <c r="S865" s="181"/>
      <c r="T865" s="181"/>
      <c r="U865" s="181"/>
      <c r="V865" s="181"/>
      <c r="W865" s="181"/>
      <c r="X865" s="181"/>
      <c r="Y865" s="181"/>
    </row>
    <row r="866" spans="1:25" ht="15.75" hidden="1" customHeight="1" x14ac:dyDescent="0.2">
      <c r="A866" s="181"/>
      <c r="B866" s="174"/>
      <c r="C866" s="175"/>
      <c r="D866" s="175"/>
      <c r="E866" s="175"/>
      <c r="F866" s="122"/>
      <c r="G866" s="122"/>
      <c r="H866" s="122"/>
      <c r="I866" s="122"/>
      <c r="J866" s="173"/>
      <c r="K866" s="181"/>
      <c r="L866" s="181"/>
      <c r="M866" s="181"/>
      <c r="N866" s="181"/>
      <c r="O866" s="181"/>
      <c r="P866" s="181"/>
      <c r="Q866" s="181"/>
      <c r="R866" s="181"/>
      <c r="S866" s="181"/>
      <c r="T866" s="181"/>
      <c r="U866" s="181"/>
      <c r="V866" s="181"/>
      <c r="W866" s="181"/>
      <c r="X866" s="181"/>
      <c r="Y866" s="181"/>
    </row>
    <row r="867" spans="1:25" ht="15.75" hidden="1" customHeight="1" x14ac:dyDescent="0.2">
      <c r="A867" s="181"/>
      <c r="B867" s="174"/>
      <c r="C867" s="175"/>
      <c r="D867" s="175"/>
      <c r="E867" s="175"/>
      <c r="F867" s="122"/>
      <c r="G867" s="122"/>
      <c r="H867" s="122"/>
      <c r="I867" s="122"/>
      <c r="J867" s="173"/>
      <c r="K867" s="181"/>
      <c r="L867" s="181"/>
      <c r="M867" s="181"/>
      <c r="N867" s="181"/>
      <c r="O867" s="181"/>
      <c r="P867" s="181"/>
      <c r="Q867" s="181"/>
      <c r="R867" s="181"/>
      <c r="S867" s="181"/>
      <c r="T867" s="181"/>
      <c r="U867" s="181"/>
      <c r="V867" s="181"/>
      <c r="W867" s="181"/>
      <c r="X867" s="181"/>
      <c r="Y867" s="181"/>
    </row>
    <row r="868" spans="1:25" ht="15.75" hidden="1" customHeight="1" x14ac:dyDescent="0.2">
      <c r="A868" s="181"/>
      <c r="B868" s="174"/>
      <c r="C868" s="175"/>
      <c r="D868" s="175"/>
      <c r="E868" s="175"/>
      <c r="F868" s="122"/>
      <c r="G868" s="122"/>
      <c r="H868" s="122"/>
      <c r="I868" s="122"/>
      <c r="J868" s="173"/>
      <c r="K868" s="181"/>
      <c r="L868" s="181"/>
      <c r="M868" s="181"/>
      <c r="N868" s="181"/>
      <c r="O868" s="181"/>
      <c r="P868" s="181"/>
      <c r="Q868" s="181"/>
      <c r="R868" s="181"/>
      <c r="S868" s="181"/>
      <c r="T868" s="181"/>
      <c r="U868" s="181"/>
      <c r="V868" s="181"/>
      <c r="W868" s="181"/>
      <c r="X868" s="181"/>
      <c r="Y868" s="181"/>
    </row>
    <row r="869" spans="1:25" ht="15.75" hidden="1" customHeight="1" x14ac:dyDescent="0.2">
      <c r="A869" s="181"/>
      <c r="B869" s="174"/>
      <c r="C869" s="175"/>
      <c r="D869" s="175"/>
      <c r="E869" s="175"/>
      <c r="F869" s="122"/>
      <c r="G869" s="122"/>
      <c r="H869" s="122"/>
      <c r="I869" s="122"/>
      <c r="J869" s="173"/>
      <c r="K869" s="181"/>
      <c r="L869" s="181"/>
      <c r="M869" s="181"/>
      <c r="N869" s="181"/>
      <c r="O869" s="181"/>
      <c r="P869" s="181"/>
      <c r="Q869" s="181"/>
      <c r="R869" s="181"/>
      <c r="S869" s="181"/>
      <c r="T869" s="181"/>
      <c r="U869" s="181"/>
      <c r="V869" s="181"/>
      <c r="W869" s="181"/>
      <c r="X869" s="181"/>
      <c r="Y869" s="181"/>
    </row>
    <row r="870" spans="1:25" ht="15.75" hidden="1" customHeight="1" x14ac:dyDescent="0.2">
      <c r="A870" s="181"/>
      <c r="B870" s="174"/>
      <c r="C870" s="175"/>
      <c r="D870" s="175"/>
      <c r="E870" s="175"/>
      <c r="F870" s="122"/>
      <c r="G870" s="122"/>
      <c r="H870" s="122"/>
      <c r="I870" s="122"/>
      <c r="J870" s="173"/>
      <c r="K870" s="181"/>
      <c r="L870" s="181"/>
      <c r="M870" s="181"/>
      <c r="N870" s="181"/>
      <c r="O870" s="181"/>
      <c r="P870" s="181"/>
      <c r="Q870" s="181"/>
      <c r="R870" s="181"/>
      <c r="S870" s="181"/>
      <c r="T870" s="181"/>
      <c r="U870" s="181"/>
      <c r="V870" s="181"/>
      <c r="W870" s="181"/>
      <c r="X870" s="181"/>
      <c r="Y870" s="181"/>
    </row>
    <row r="871" spans="1:25" ht="15.75" hidden="1" customHeight="1" x14ac:dyDescent="0.2">
      <c r="A871" s="181"/>
      <c r="B871" s="174"/>
      <c r="C871" s="175"/>
      <c r="D871" s="175"/>
      <c r="E871" s="175"/>
      <c r="F871" s="122"/>
      <c r="G871" s="122"/>
      <c r="H871" s="122"/>
      <c r="I871" s="122"/>
      <c r="J871" s="173"/>
      <c r="K871" s="181"/>
      <c r="L871" s="181"/>
      <c r="M871" s="181"/>
      <c r="N871" s="181"/>
      <c r="O871" s="181"/>
      <c r="P871" s="181"/>
      <c r="Q871" s="181"/>
      <c r="R871" s="181"/>
      <c r="S871" s="181"/>
      <c r="T871" s="181"/>
      <c r="U871" s="181"/>
      <c r="V871" s="181"/>
      <c r="W871" s="181"/>
      <c r="X871" s="181"/>
      <c r="Y871" s="181"/>
    </row>
    <row r="872" spans="1:25" ht="15.75" hidden="1" customHeight="1" x14ac:dyDescent="0.2">
      <c r="A872" s="181"/>
      <c r="B872" s="174"/>
      <c r="C872" s="175"/>
      <c r="D872" s="175"/>
      <c r="E872" s="175"/>
      <c r="F872" s="122"/>
      <c r="G872" s="122"/>
      <c r="H872" s="122"/>
      <c r="I872" s="122"/>
      <c r="J872" s="173"/>
      <c r="K872" s="181"/>
      <c r="L872" s="181"/>
      <c r="M872" s="181"/>
      <c r="N872" s="181"/>
      <c r="O872" s="181"/>
      <c r="P872" s="181"/>
      <c r="Q872" s="181"/>
      <c r="R872" s="181"/>
      <c r="S872" s="181"/>
      <c r="T872" s="181"/>
      <c r="U872" s="181"/>
      <c r="V872" s="181"/>
      <c r="W872" s="181"/>
      <c r="X872" s="181"/>
      <c r="Y872" s="181"/>
    </row>
    <row r="873" spans="1:25" ht="15.75" hidden="1" customHeight="1" x14ac:dyDescent="0.2">
      <c r="A873" s="181"/>
      <c r="B873" s="174"/>
      <c r="C873" s="175"/>
      <c r="D873" s="175"/>
      <c r="E873" s="175"/>
      <c r="F873" s="122"/>
      <c r="G873" s="122"/>
      <c r="H873" s="122"/>
      <c r="I873" s="122"/>
      <c r="J873" s="173"/>
      <c r="K873" s="181"/>
      <c r="L873" s="181"/>
      <c r="M873" s="181"/>
      <c r="N873" s="181"/>
      <c r="O873" s="181"/>
      <c r="P873" s="181"/>
      <c r="Q873" s="181"/>
      <c r="R873" s="181"/>
      <c r="S873" s="181"/>
      <c r="T873" s="181"/>
      <c r="U873" s="181"/>
      <c r="V873" s="181"/>
      <c r="W873" s="181"/>
      <c r="X873" s="181"/>
      <c r="Y873" s="181"/>
    </row>
    <row r="874" spans="1:25" ht="15.75" hidden="1" customHeight="1" x14ac:dyDescent="0.2">
      <c r="A874" s="181"/>
      <c r="B874" s="174"/>
      <c r="C874" s="175"/>
      <c r="D874" s="175"/>
      <c r="E874" s="175"/>
      <c r="F874" s="122"/>
      <c r="G874" s="122"/>
      <c r="H874" s="122"/>
      <c r="I874" s="122"/>
      <c r="J874" s="173"/>
      <c r="K874" s="181"/>
      <c r="L874" s="181"/>
      <c r="M874" s="181"/>
      <c r="N874" s="181"/>
      <c r="O874" s="181"/>
      <c r="P874" s="181"/>
      <c r="Q874" s="181"/>
      <c r="R874" s="181"/>
      <c r="S874" s="181"/>
      <c r="T874" s="181"/>
      <c r="U874" s="181"/>
      <c r="V874" s="181"/>
      <c r="W874" s="181"/>
      <c r="X874" s="181"/>
      <c r="Y874" s="181"/>
    </row>
    <row r="875" spans="1:25" ht="15.75" hidden="1" customHeight="1" x14ac:dyDescent="0.2">
      <c r="A875" s="181"/>
      <c r="B875" s="174"/>
      <c r="C875" s="175"/>
      <c r="D875" s="175"/>
      <c r="E875" s="175"/>
      <c r="F875" s="122"/>
      <c r="G875" s="122"/>
      <c r="H875" s="122"/>
      <c r="I875" s="122"/>
      <c r="J875" s="173"/>
      <c r="K875" s="181"/>
      <c r="L875" s="181"/>
      <c r="M875" s="181"/>
      <c r="N875" s="181"/>
      <c r="O875" s="181"/>
      <c r="P875" s="181"/>
      <c r="Q875" s="181"/>
      <c r="R875" s="181"/>
      <c r="S875" s="181"/>
      <c r="T875" s="181"/>
      <c r="U875" s="181"/>
      <c r="V875" s="181"/>
      <c r="W875" s="181"/>
      <c r="X875" s="181"/>
      <c r="Y875" s="181"/>
    </row>
    <row r="876" spans="1:25" ht="15.75" hidden="1" customHeight="1" x14ac:dyDescent="0.2">
      <c r="A876" s="181"/>
      <c r="B876" s="174"/>
      <c r="C876" s="175"/>
      <c r="D876" s="175"/>
      <c r="E876" s="175"/>
      <c r="F876" s="122"/>
      <c r="G876" s="122"/>
      <c r="H876" s="122"/>
      <c r="I876" s="122"/>
      <c r="J876" s="173"/>
      <c r="K876" s="181"/>
      <c r="L876" s="181"/>
      <c r="M876" s="181"/>
      <c r="N876" s="181"/>
      <c r="O876" s="181"/>
      <c r="P876" s="181"/>
      <c r="Q876" s="181"/>
      <c r="R876" s="181"/>
      <c r="S876" s="181"/>
      <c r="T876" s="181"/>
      <c r="U876" s="181"/>
      <c r="V876" s="181"/>
      <c r="W876" s="181"/>
      <c r="X876" s="181"/>
      <c r="Y876" s="181"/>
    </row>
    <row r="877" spans="1:25" ht="15.75" hidden="1" customHeight="1" x14ac:dyDescent="0.2">
      <c r="A877" s="181"/>
      <c r="B877" s="174"/>
      <c r="C877" s="175"/>
      <c r="D877" s="175"/>
      <c r="E877" s="175"/>
      <c r="F877" s="122"/>
      <c r="G877" s="122"/>
      <c r="H877" s="122"/>
      <c r="I877" s="122"/>
      <c r="J877" s="173"/>
      <c r="K877" s="181"/>
      <c r="L877" s="181"/>
      <c r="M877" s="181"/>
      <c r="N877" s="181"/>
      <c r="O877" s="181"/>
      <c r="P877" s="181"/>
      <c r="Q877" s="181"/>
      <c r="R877" s="181"/>
      <c r="S877" s="181"/>
      <c r="T877" s="181"/>
      <c r="U877" s="181"/>
      <c r="V877" s="181"/>
      <c r="W877" s="181"/>
      <c r="X877" s="181"/>
      <c r="Y877" s="181"/>
    </row>
    <row r="878" spans="1:25" ht="15.75" hidden="1" customHeight="1" x14ac:dyDescent="0.2">
      <c r="A878" s="181"/>
      <c r="B878" s="174"/>
      <c r="C878" s="175"/>
      <c r="D878" s="175"/>
      <c r="E878" s="175"/>
      <c r="F878" s="122"/>
      <c r="G878" s="122"/>
      <c r="H878" s="122"/>
      <c r="I878" s="122"/>
      <c r="J878" s="173"/>
      <c r="K878" s="181"/>
      <c r="L878" s="181"/>
      <c r="M878" s="181"/>
      <c r="N878" s="181"/>
      <c r="O878" s="181"/>
      <c r="P878" s="181"/>
      <c r="Q878" s="181"/>
      <c r="R878" s="181"/>
      <c r="S878" s="181"/>
      <c r="T878" s="181"/>
      <c r="U878" s="181"/>
      <c r="V878" s="181"/>
      <c r="W878" s="181"/>
      <c r="X878" s="181"/>
      <c r="Y878" s="181"/>
    </row>
    <row r="879" spans="1:25" ht="15.75" hidden="1" customHeight="1" x14ac:dyDescent="0.2">
      <c r="A879" s="181"/>
      <c r="B879" s="174"/>
      <c r="C879" s="175"/>
      <c r="D879" s="175"/>
      <c r="E879" s="175"/>
      <c r="F879" s="122"/>
      <c r="G879" s="122"/>
      <c r="H879" s="122"/>
      <c r="I879" s="122"/>
      <c r="J879" s="173"/>
      <c r="K879" s="181"/>
      <c r="L879" s="181"/>
      <c r="M879" s="181"/>
      <c r="N879" s="181"/>
      <c r="O879" s="181"/>
      <c r="P879" s="181"/>
      <c r="Q879" s="181"/>
      <c r="R879" s="181"/>
      <c r="S879" s="181"/>
      <c r="T879" s="181"/>
      <c r="U879" s="181"/>
      <c r="V879" s="181"/>
      <c r="W879" s="181"/>
      <c r="X879" s="181"/>
      <c r="Y879" s="181"/>
    </row>
    <row r="880" spans="1:25" ht="15.75" hidden="1" customHeight="1" x14ac:dyDescent="0.2">
      <c r="A880" s="181"/>
      <c r="B880" s="174"/>
      <c r="C880" s="175"/>
      <c r="D880" s="175"/>
      <c r="E880" s="175"/>
      <c r="F880" s="122"/>
      <c r="G880" s="122"/>
      <c r="H880" s="122"/>
      <c r="I880" s="122"/>
      <c r="J880" s="173"/>
      <c r="K880" s="181"/>
      <c r="L880" s="181"/>
      <c r="M880" s="181"/>
      <c r="N880" s="181"/>
      <c r="O880" s="181"/>
      <c r="P880" s="181"/>
      <c r="Q880" s="181"/>
      <c r="R880" s="181"/>
      <c r="S880" s="181"/>
      <c r="T880" s="181"/>
      <c r="U880" s="181"/>
      <c r="V880" s="181"/>
      <c r="W880" s="181"/>
      <c r="X880" s="181"/>
      <c r="Y880" s="181"/>
    </row>
    <row r="881" spans="1:25" ht="15.75" hidden="1" customHeight="1" x14ac:dyDescent="0.2">
      <c r="A881" s="181"/>
      <c r="B881" s="174"/>
      <c r="C881" s="175"/>
      <c r="D881" s="175"/>
      <c r="E881" s="175"/>
      <c r="F881" s="122"/>
      <c r="G881" s="122"/>
      <c r="H881" s="122"/>
      <c r="I881" s="122"/>
      <c r="J881" s="173"/>
      <c r="K881" s="181"/>
      <c r="L881" s="181"/>
      <c r="M881" s="181"/>
      <c r="N881" s="181"/>
      <c r="O881" s="181"/>
      <c r="P881" s="181"/>
      <c r="Q881" s="181"/>
      <c r="R881" s="181"/>
      <c r="S881" s="181"/>
      <c r="T881" s="181"/>
      <c r="U881" s="181"/>
      <c r="V881" s="181"/>
      <c r="W881" s="181"/>
      <c r="X881" s="181"/>
      <c r="Y881" s="181"/>
    </row>
    <row r="882" spans="1:25" ht="15.75" hidden="1" customHeight="1" x14ac:dyDescent="0.2">
      <c r="A882" s="181"/>
      <c r="B882" s="174"/>
      <c r="C882" s="175"/>
      <c r="D882" s="175"/>
      <c r="E882" s="175"/>
      <c r="F882" s="122"/>
      <c r="G882" s="122"/>
      <c r="H882" s="122"/>
      <c r="I882" s="122"/>
      <c r="J882" s="173"/>
      <c r="K882" s="181"/>
      <c r="L882" s="181"/>
      <c r="M882" s="181"/>
      <c r="N882" s="181"/>
      <c r="O882" s="181"/>
      <c r="P882" s="181"/>
      <c r="Q882" s="181"/>
      <c r="R882" s="181"/>
      <c r="S882" s="181"/>
      <c r="T882" s="181"/>
      <c r="U882" s="181"/>
      <c r="V882" s="181"/>
      <c r="W882" s="181"/>
      <c r="X882" s="181"/>
      <c r="Y882" s="181"/>
    </row>
    <row r="883" spans="1:25" ht="15.75" hidden="1" customHeight="1" x14ac:dyDescent="0.2">
      <c r="A883" s="181"/>
      <c r="B883" s="174"/>
      <c r="C883" s="175"/>
      <c r="D883" s="175"/>
      <c r="E883" s="175"/>
      <c r="F883" s="122"/>
      <c r="G883" s="122"/>
      <c r="H883" s="122"/>
      <c r="I883" s="122"/>
      <c r="J883" s="173"/>
      <c r="K883" s="181"/>
      <c r="L883" s="181"/>
      <c r="M883" s="181"/>
      <c r="N883" s="181"/>
      <c r="O883" s="181"/>
      <c r="P883" s="181"/>
      <c r="Q883" s="181"/>
      <c r="R883" s="181"/>
      <c r="S883" s="181"/>
      <c r="T883" s="181"/>
      <c r="U883" s="181"/>
      <c r="V883" s="181"/>
      <c r="W883" s="181"/>
      <c r="X883" s="181"/>
      <c r="Y883" s="181"/>
    </row>
    <row r="884" spans="1:25" ht="15.75" hidden="1" customHeight="1" x14ac:dyDescent="0.2">
      <c r="A884" s="181"/>
      <c r="B884" s="174"/>
      <c r="C884" s="175"/>
      <c r="D884" s="175"/>
      <c r="E884" s="175"/>
      <c r="F884" s="122"/>
      <c r="G884" s="122"/>
      <c r="H884" s="122"/>
      <c r="I884" s="122"/>
      <c r="J884" s="173"/>
      <c r="K884" s="181"/>
      <c r="L884" s="181"/>
      <c r="M884" s="181"/>
      <c r="N884" s="181"/>
      <c r="O884" s="181"/>
      <c r="P884" s="181"/>
      <c r="Q884" s="181"/>
      <c r="R884" s="181"/>
      <c r="S884" s="181"/>
      <c r="T884" s="181"/>
      <c r="U884" s="181"/>
      <c r="V884" s="181"/>
      <c r="W884" s="181"/>
      <c r="X884" s="181"/>
      <c r="Y884" s="181"/>
    </row>
    <row r="885" spans="1:25" ht="15.75" hidden="1" customHeight="1" x14ac:dyDescent="0.2">
      <c r="A885" s="181"/>
      <c r="B885" s="174"/>
      <c r="C885" s="175"/>
      <c r="D885" s="175"/>
      <c r="E885" s="175"/>
      <c r="F885" s="122"/>
      <c r="G885" s="122"/>
      <c r="H885" s="122"/>
      <c r="I885" s="122"/>
      <c r="J885" s="173"/>
      <c r="K885" s="181"/>
      <c r="L885" s="181"/>
      <c r="M885" s="181"/>
      <c r="N885" s="181"/>
      <c r="O885" s="181"/>
      <c r="P885" s="181"/>
      <c r="Q885" s="181"/>
      <c r="R885" s="181"/>
      <c r="S885" s="181"/>
      <c r="T885" s="181"/>
      <c r="U885" s="181"/>
      <c r="V885" s="181"/>
      <c r="W885" s="181"/>
      <c r="X885" s="181"/>
      <c r="Y885" s="181"/>
    </row>
    <row r="886" spans="1:25" ht="15.75" hidden="1" customHeight="1" x14ac:dyDescent="0.2">
      <c r="A886" s="181"/>
      <c r="B886" s="174"/>
      <c r="C886" s="175"/>
      <c r="D886" s="175"/>
      <c r="E886" s="175"/>
      <c r="F886" s="122"/>
      <c r="G886" s="122"/>
      <c r="H886" s="122"/>
      <c r="I886" s="122"/>
      <c r="J886" s="173"/>
      <c r="K886" s="181"/>
      <c r="L886" s="181"/>
      <c r="M886" s="181"/>
      <c r="N886" s="181"/>
      <c r="O886" s="181"/>
      <c r="P886" s="181"/>
      <c r="Q886" s="181"/>
      <c r="R886" s="181"/>
      <c r="S886" s="181"/>
      <c r="T886" s="181"/>
      <c r="U886" s="181"/>
      <c r="V886" s="181"/>
      <c r="W886" s="181"/>
      <c r="X886" s="181"/>
      <c r="Y886" s="181"/>
    </row>
    <row r="887" spans="1:25" ht="15.75" hidden="1" customHeight="1" x14ac:dyDescent="0.2">
      <c r="A887" s="181"/>
      <c r="B887" s="174"/>
      <c r="C887" s="175"/>
      <c r="D887" s="175"/>
      <c r="E887" s="175"/>
      <c r="F887" s="122"/>
      <c r="G887" s="122"/>
      <c r="H887" s="122"/>
      <c r="I887" s="122"/>
      <c r="J887" s="173"/>
      <c r="K887" s="181"/>
      <c r="L887" s="181"/>
      <c r="M887" s="181"/>
      <c r="N887" s="181"/>
      <c r="O887" s="181"/>
      <c r="P887" s="181"/>
      <c r="Q887" s="181"/>
      <c r="R887" s="181"/>
      <c r="S887" s="181"/>
      <c r="T887" s="181"/>
      <c r="U887" s="181"/>
      <c r="V887" s="181"/>
      <c r="W887" s="181"/>
      <c r="X887" s="181"/>
      <c r="Y887" s="181"/>
    </row>
    <row r="888" spans="1:25" ht="15.75" hidden="1" customHeight="1" x14ac:dyDescent="0.2">
      <c r="A888" s="181"/>
      <c r="B888" s="174"/>
      <c r="C888" s="175"/>
      <c r="D888" s="175"/>
      <c r="E888" s="175"/>
      <c r="F888" s="122"/>
      <c r="G888" s="122"/>
      <c r="H888" s="122"/>
      <c r="I888" s="122"/>
      <c r="J888" s="173"/>
      <c r="K888" s="181"/>
      <c r="L888" s="181"/>
      <c r="M888" s="181"/>
      <c r="N888" s="181"/>
      <c r="O888" s="181"/>
      <c r="P888" s="181"/>
      <c r="Q888" s="181"/>
      <c r="R888" s="181"/>
      <c r="S888" s="181"/>
      <c r="T888" s="181"/>
      <c r="U888" s="181"/>
      <c r="V888" s="181"/>
      <c r="W888" s="181"/>
      <c r="X888" s="181"/>
      <c r="Y888" s="181"/>
    </row>
    <row r="889" spans="1:25" ht="15.75" hidden="1" customHeight="1" x14ac:dyDescent="0.2">
      <c r="A889" s="181"/>
      <c r="B889" s="174"/>
      <c r="C889" s="175"/>
      <c r="D889" s="175"/>
      <c r="E889" s="175"/>
      <c r="F889" s="122"/>
      <c r="G889" s="122"/>
      <c r="H889" s="122"/>
      <c r="I889" s="122"/>
      <c r="J889" s="173"/>
      <c r="K889" s="181"/>
      <c r="L889" s="181"/>
      <c r="M889" s="181"/>
      <c r="N889" s="181"/>
      <c r="O889" s="181"/>
      <c r="P889" s="181"/>
      <c r="Q889" s="181"/>
      <c r="R889" s="181"/>
      <c r="S889" s="181"/>
      <c r="T889" s="181"/>
      <c r="U889" s="181"/>
      <c r="V889" s="181"/>
      <c r="W889" s="181"/>
      <c r="X889" s="181"/>
      <c r="Y889" s="181"/>
    </row>
    <row r="890" spans="1:25" ht="15.75" hidden="1" customHeight="1" x14ac:dyDescent="0.2">
      <c r="A890" s="181"/>
      <c r="B890" s="174"/>
      <c r="C890" s="175"/>
      <c r="D890" s="175"/>
      <c r="E890" s="175"/>
      <c r="F890" s="122"/>
      <c r="G890" s="122"/>
      <c r="H890" s="122"/>
      <c r="I890" s="122"/>
      <c r="J890" s="173"/>
      <c r="K890" s="181"/>
      <c r="L890" s="181"/>
      <c r="M890" s="181"/>
      <c r="N890" s="181"/>
      <c r="O890" s="181"/>
      <c r="P890" s="181"/>
      <c r="Q890" s="181"/>
      <c r="R890" s="181"/>
      <c r="S890" s="181"/>
      <c r="T890" s="181"/>
      <c r="U890" s="181"/>
      <c r="V890" s="181"/>
      <c r="W890" s="181"/>
      <c r="X890" s="181"/>
      <c r="Y890" s="181"/>
    </row>
    <row r="891" spans="1:25" ht="15.75" hidden="1" customHeight="1" x14ac:dyDescent="0.2">
      <c r="A891" s="181"/>
      <c r="B891" s="174"/>
      <c r="C891" s="175"/>
      <c r="D891" s="175"/>
      <c r="E891" s="175"/>
      <c r="F891" s="122"/>
      <c r="G891" s="122"/>
      <c r="H891" s="122"/>
      <c r="I891" s="122"/>
      <c r="J891" s="173"/>
      <c r="K891" s="181"/>
      <c r="L891" s="181"/>
      <c r="M891" s="181"/>
      <c r="N891" s="181"/>
      <c r="O891" s="181"/>
      <c r="P891" s="181"/>
      <c r="Q891" s="181"/>
      <c r="R891" s="181"/>
      <c r="S891" s="181"/>
      <c r="T891" s="181"/>
      <c r="U891" s="181"/>
      <c r="V891" s="181"/>
      <c r="W891" s="181"/>
      <c r="X891" s="181"/>
      <c r="Y891" s="181"/>
    </row>
    <row r="892" spans="1:25" ht="15.75" hidden="1" customHeight="1" x14ac:dyDescent="0.2">
      <c r="A892" s="181"/>
      <c r="B892" s="174"/>
      <c r="C892" s="175"/>
      <c r="D892" s="175"/>
      <c r="E892" s="175"/>
      <c r="F892" s="122"/>
      <c r="G892" s="122"/>
      <c r="H892" s="122"/>
      <c r="I892" s="122"/>
      <c r="J892" s="173"/>
      <c r="K892" s="181"/>
      <c r="L892" s="181"/>
      <c r="M892" s="181"/>
      <c r="N892" s="181"/>
      <c r="O892" s="181"/>
      <c r="P892" s="181"/>
      <c r="Q892" s="181"/>
      <c r="R892" s="181"/>
      <c r="S892" s="181"/>
      <c r="T892" s="181"/>
      <c r="U892" s="181"/>
      <c r="V892" s="181"/>
      <c r="W892" s="181"/>
      <c r="X892" s="181"/>
      <c r="Y892" s="181"/>
    </row>
    <row r="893" spans="1:25" ht="15.75" hidden="1" customHeight="1" x14ac:dyDescent="0.2">
      <c r="A893" s="181"/>
      <c r="B893" s="174"/>
      <c r="C893" s="175"/>
      <c r="D893" s="175"/>
      <c r="E893" s="175"/>
      <c r="F893" s="122"/>
      <c r="G893" s="122"/>
      <c r="H893" s="122"/>
      <c r="I893" s="122"/>
      <c r="J893" s="173"/>
      <c r="K893" s="181"/>
      <c r="L893" s="181"/>
      <c r="M893" s="181"/>
      <c r="N893" s="181"/>
      <c r="O893" s="181"/>
      <c r="P893" s="181"/>
      <c r="Q893" s="181"/>
      <c r="R893" s="181"/>
      <c r="S893" s="181"/>
      <c r="T893" s="181"/>
      <c r="U893" s="181"/>
      <c r="V893" s="181"/>
      <c r="W893" s="181"/>
      <c r="X893" s="181"/>
      <c r="Y893" s="181"/>
    </row>
    <row r="894" spans="1:25" ht="15.75" hidden="1" customHeight="1" x14ac:dyDescent="0.2">
      <c r="A894" s="181"/>
      <c r="B894" s="174"/>
      <c r="C894" s="175"/>
      <c r="D894" s="175"/>
      <c r="E894" s="175"/>
      <c r="F894" s="122"/>
      <c r="G894" s="122"/>
      <c r="H894" s="122"/>
      <c r="I894" s="122"/>
      <c r="J894" s="173"/>
      <c r="K894" s="181"/>
      <c r="L894" s="181"/>
      <c r="M894" s="181"/>
      <c r="N894" s="181"/>
      <c r="O894" s="181"/>
      <c r="P894" s="181"/>
      <c r="Q894" s="181"/>
      <c r="R894" s="181"/>
      <c r="S894" s="181"/>
      <c r="T894" s="181"/>
      <c r="U894" s="181"/>
      <c r="V894" s="181"/>
      <c r="W894" s="181"/>
      <c r="X894" s="181"/>
      <c r="Y894" s="181"/>
    </row>
    <row r="895" spans="1:25" ht="15.75" hidden="1" customHeight="1" x14ac:dyDescent="0.2">
      <c r="A895" s="181"/>
      <c r="B895" s="174"/>
      <c r="C895" s="175"/>
      <c r="D895" s="175"/>
      <c r="E895" s="175"/>
      <c r="F895" s="122"/>
      <c r="G895" s="122"/>
      <c r="H895" s="122"/>
      <c r="I895" s="122"/>
      <c r="J895" s="173"/>
      <c r="K895" s="181"/>
      <c r="L895" s="181"/>
      <c r="M895" s="181"/>
      <c r="N895" s="181"/>
      <c r="O895" s="181"/>
      <c r="P895" s="181"/>
      <c r="Q895" s="181"/>
      <c r="R895" s="181"/>
      <c r="S895" s="181"/>
      <c r="T895" s="181"/>
      <c r="U895" s="181"/>
      <c r="V895" s="181"/>
      <c r="W895" s="181"/>
      <c r="X895" s="181"/>
      <c r="Y895" s="181"/>
    </row>
    <row r="896" spans="1:25" ht="15.75" hidden="1" customHeight="1" x14ac:dyDescent="0.2">
      <c r="A896" s="181"/>
      <c r="B896" s="174"/>
      <c r="C896" s="175"/>
      <c r="D896" s="175"/>
      <c r="E896" s="175"/>
      <c r="F896" s="122"/>
      <c r="G896" s="122"/>
      <c r="H896" s="122"/>
      <c r="I896" s="122"/>
      <c r="J896" s="173"/>
      <c r="K896" s="181"/>
      <c r="L896" s="181"/>
      <c r="M896" s="181"/>
      <c r="N896" s="181"/>
      <c r="O896" s="181"/>
      <c r="P896" s="181"/>
      <c r="Q896" s="181"/>
      <c r="R896" s="181"/>
      <c r="S896" s="181"/>
      <c r="T896" s="181"/>
      <c r="U896" s="181"/>
      <c r="V896" s="181"/>
      <c r="W896" s="181"/>
      <c r="X896" s="181"/>
      <c r="Y896" s="181"/>
    </row>
    <row r="897" spans="1:25" ht="15.75" hidden="1" customHeight="1" x14ac:dyDescent="0.2">
      <c r="A897" s="181"/>
      <c r="B897" s="174"/>
      <c r="C897" s="175"/>
      <c r="D897" s="175"/>
      <c r="E897" s="175"/>
      <c r="F897" s="122"/>
      <c r="G897" s="122"/>
      <c r="H897" s="122"/>
      <c r="I897" s="122"/>
      <c r="J897" s="173"/>
      <c r="K897" s="181"/>
      <c r="L897" s="181"/>
      <c r="M897" s="181"/>
      <c r="N897" s="181"/>
      <c r="O897" s="181"/>
      <c r="P897" s="181"/>
      <c r="Q897" s="181"/>
      <c r="R897" s="181"/>
      <c r="S897" s="181"/>
      <c r="T897" s="181"/>
      <c r="U897" s="181"/>
      <c r="V897" s="181"/>
      <c r="W897" s="181"/>
      <c r="X897" s="181"/>
      <c r="Y897" s="181"/>
    </row>
    <row r="898" spans="1:25" ht="15.75" hidden="1" customHeight="1" x14ac:dyDescent="0.2">
      <c r="A898" s="181"/>
      <c r="B898" s="174"/>
      <c r="C898" s="175"/>
      <c r="D898" s="175"/>
      <c r="E898" s="175"/>
      <c r="F898" s="122"/>
      <c r="G898" s="122"/>
      <c r="H898" s="122"/>
      <c r="I898" s="122"/>
      <c r="J898" s="173"/>
      <c r="K898" s="181"/>
      <c r="L898" s="181"/>
      <c r="M898" s="181"/>
      <c r="N898" s="181"/>
      <c r="O898" s="181"/>
      <c r="P898" s="181"/>
      <c r="Q898" s="181"/>
      <c r="R898" s="181"/>
      <c r="S898" s="181"/>
      <c r="T898" s="181"/>
      <c r="U898" s="181"/>
      <c r="V898" s="181"/>
      <c r="W898" s="181"/>
      <c r="X898" s="181"/>
      <c r="Y898" s="181"/>
    </row>
    <row r="899" spans="1:25" ht="15.75" hidden="1" customHeight="1" x14ac:dyDescent="0.2">
      <c r="A899" s="181"/>
      <c r="B899" s="174"/>
      <c r="C899" s="175"/>
      <c r="D899" s="175"/>
      <c r="E899" s="175"/>
      <c r="F899" s="122"/>
      <c r="G899" s="122"/>
      <c r="H899" s="122"/>
      <c r="I899" s="122"/>
      <c r="J899" s="173"/>
      <c r="K899" s="181"/>
      <c r="L899" s="181"/>
      <c r="M899" s="181"/>
      <c r="N899" s="181"/>
      <c r="O899" s="181"/>
      <c r="P899" s="181"/>
      <c r="Q899" s="181"/>
      <c r="R899" s="181"/>
      <c r="S899" s="181"/>
      <c r="T899" s="181"/>
      <c r="U899" s="181"/>
      <c r="V899" s="181"/>
      <c r="W899" s="181"/>
      <c r="X899" s="181"/>
      <c r="Y899" s="181"/>
    </row>
    <row r="900" spans="1:25" ht="15.75" hidden="1" customHeight="1" x14ac:dyDescent="0.2">
      <c r="A900" s="181"/>
      <c r="B900" s="174"/>
      <c r="C900" s="175"/>
      <c r="D900" s="175"/>
      <c r="E900" s="175"/>
      <c r="F900" s="122"/>
      <c r="G900" s="122"/>
      <c r="H900" s="122"/>
      <c r="I900" s="122"/>
      <c r="J900" s="173"/>
      <c r="K900" s="181"/>
      <c r="L900" s="181"/>
      <c r="M900" s="181"/>
      <c r="N900" s="181"/>
      <c r="O900" s="181"/>
      <c r="P900" s="181"/>
      <c r="Q900" s="181"/>
      <c r="R900" s="181"/>
      <c r="S900" s="181"/>
      <c r="T900" s="181"/>
      <c r="U900" s="181"/>
      <c r="V900" s="181"/>
      <c r="W900" s="181"/>
      <c r="X900" s="181"/>
      <c r="Y900" s="181"/>
    </row>
    <row r="901" spans="1:25" ht="15.75" hidden="1" customHeight="1" x14ac:dyDescent="0.2">
      <c r="A901" s="181"/>
      <c r="B901" s="174"/>
      <c r="C901" s="175"/>
      <c r="D901" s="175"/>
      <c r="E901" s="175"/>
      <c r="F901" s="122"/>
      <c r="G901" s="122"/>
      <c r="H901" s="122"/>
      <c r="I901" s="122"/>
      <c r="J901" s="173"/>
      <c r="K901" s="181"/>
      <c r="L901" s="181"/>
      <c r="M901" s="181"/>
      <c r="N901" s="181"/>
      <c r="O901" s="181"/>
      <c r="P901" s="181"/>
      <c r="Q901" s="181"/>
      <c r="R901" s="181"/>
      <c r="S901" s="181"/>
      <c r="T901" s="181"/>
      <c r="U901" s="181"/>
      <c r="V901" s="181"/>
      <c r="W901" s="181"/>
      <c r="X901" s="181"/>
      <c r="Y901" s="181"/>
    </row>
    <row r="902" spans="1:25" ht="15.75" hidden="1" customHeight="1" x14ac:dyDescent="0.2">
      <c r="A902" s="181"/>
      <c r="B902" s="174"/>
      <c r="C902" s="175"/>
      <c r="D902" s="175"/>
      <c r="E902" s="175"/>
      <c r="F902" s="122"/>
      <c r="G902" s="122"/>
      <c r="H902" s="122"/>
      <c r="I902" s="122"/>
      <c r="J902" s="173"/>
      <c r="K902" s="181"/>
      <c r="L902" s="181"/>
      <c r="M902" s="181"/>
      <c r="N902" s="181"/>
      <c r="O902" s="181"/>
      <c r="P902" s="181"/>
      <c r="Q902" s="181"/>
      <c r="R902" s="181"/>
      <c r="S902" s="181"/>
      <c r="T902" s="181"/>
      <c r="U902" s="181"/>
      <c r="V902" s="181"/>
      <c r="W902" s="181"/>
      <c r="X902" s="181"/>
      <c r="Y902" s="181"/>
    </row>
    <row r="903" spans="1:25" ht="15.75" hidden="1" customHeight="1" x14ac:dyDescent="0.2">
      <c r="A903" s="181"/>
      <c r="B903" s="174"/>
      <c r="C903" s="175"/>
      <c r="D903" s="175"/>
      <c r="E903" s="175"/>
      <c r="F903" s="122"/>
      <c r="G903" s="122"/>
      <c r="H903" s="122"/>
      <c r="I903" s="122"/>
      <c r="J903" s="173"/>
      <c r="K903" s="181"/>
      <c r="L903" s="181"/>
      <c r="M903" s="181"/>
      <c r="N903" s="181"/>
      <c r="O903" s="181"/>
      <c r="P903" s="181"/>
      <c r="Q903" s="181"/>
      <c r="R903" s="181"/>
      <c r="S903" s="181"/>
      <c r="T903" s="181"/>
      <c r="U903" s="181"/>
      <c r="V903" s="181"/>
      <c r="W903" s="181"/>
      <c r="X903" s="181"/>
      <c r="Y903" s="181"/>
    </row>
    <row r="904" spans="1:25" ht="15.75" hidden="1" customHeight="1" x14ac:dyDescent="0.2">
      <c r="A904" s="181"/>
      <c r="B904" s="174"/>
      <c r="C904" s="175"/>
      <c r="D904" s="175"/>
      <c r="E904" s="175"/>
      <c r="F904" s="122"/>
      <c r="G904" s="122"/>
      <c r="H904" s="122"/>
      <c r="I904" s="122"/>
      <c r="J904" s="173"/>
      <c r="K904" s="181"/>
      <c r="L904" s="181"/>
      <c r="M904" s="181"/>
      <c r="N904" s="181"/>
      <c r="O904" s="181"/>
      <c r="P904" s="181"/>
      <c r="Q904" s="181"/>
      <c r="R904" s="181"/>
      <c r="S904" s="181"/>
      <c r="T904" s="181"/>
      <c r="U904" s="181"/>
      <c r="V904" s="181"/>
      <c r="W904" s="181"/>
      <c r="X904" s="181"/>
      <c r="Y904" s="181"/>
    </row>
    <row r="905" spans="1:25" ht="15.75" hidden="1" customHeight="1" x14ac:dyDescent="0.2">
      <c r="A905" s="181"/>
      <c r="B905" s="174"/>
      <c r="C905" s="175"/>
      <c r="D905" s="175"/>
      <c r="E905" s="175"/>
      <c r="F905" s="122"/>
      <c r="G905" s="122"/>
      <c r="H905" s="122"/>
      <c r="I905" s="122"/>
      <c r="J905" s="173"/>
      <c r="K905" s="181"/>
      <c r="L905" s="181"/>
      <c r="M905" s="181"/>
      <c r="N905" s="181"/>
      <c r="O905" s="181"/>
      <c r="P905" s="181"/>
      <c r="Q905" s="181"/>
      <c r="R905" s="181"/>
      <c r="S905" s="181"/>
      <c r="T905" s="181"/>
      <c r="U905" s="181"/>
      <c r="V905" s="181"/>
      <c r="W905" s="181"/>
      <c r="X905" s="181"/>
      <c r="Y905" s="181"/>
    </row>
    <row r="906" spans="1:25" ht="15.75" hidden="1" customHeight="1" x14ac:dyDescent="0.2">
      <c r="A906" s="181"/>
      <c r="B906" s="174"/>
      <c r="C906" s="175"/>
      <c r="D906" s="175"/>
      <c r="E906" s="175"/>
      <c r="F906" s="122"/>
      <c r="G906" s="122"/>
      <c r="H906" s="122"/>
      <c r="I906" s="122"/>
      <c r="J906" s="173"/>
      <c r="K906" s="181"/>
      <c r="L906" s="181"/>
      <c r="M906" s="181"/>
      <c r="N906" s="181"/>
      <c r="O906" s="181"/>
      <c r="P906" s="181"/>
      <c r="Q906" s="181"/>
      <c r="R906" s="181"/>
      <c r="S906" s="181"/>
      <c r="T906" s="181"/>
      <c r="U906" s="181"/>
      <c r="V906" s="181"/>
      <c r="W906" s="181"/>
      <c r="X906" s="181"/>
      <c r="Y906" s="181"/>
    </row>
    <row r="907" spans="1:25" ht="15.75" hidden="1" customHeight="1" x14ac:dyDescent="0.2">
      <c r="A907" s="181"/>
      <c r="B907" s="174"/>
      <c r="C907" s="175"/>
      <c r="D907" s="175"/>
      <c r="E907" s="175"/>
      <c r="F907" s="122"/>
      <c r="G907" s="122"/>
      <c r="H907" s="122"/>
      <c r="I907" s="122"/>
      <c r="J907" s="173"/>
      <c r="K907" s="181"/>
      <c r="L907" s="181"/>
      <c r="M907" s="181"/>
      <c r="N907" s="181"/>
      <c r="O907" s="181"/>
      <c r="P907" s="181"/>
      <c r="Q907" s="181"/>
      <c r="R907" s="181"/>
      <c r="S907" s="181"/>
      <c r="T907" s="181"/>
      <c r="U907" s="181"/>
      <c r="V907" s="181"/>
      <c r="W907" s="181"/>
      <c r="X907" s="181"/>
      <c r="Y907" s="181"/>
    </row>
    <row r="908" spans="1:25" ht="15.75" hidden="1" customHeight="1" x14ac:dyDescent="0.2">
      <c r="A908" s="181"/>
      <c r="B908" s="174"/>
      <c r="C908" s="175"/>
      <c r="D908" s="175"/>
      <c r="E908" s="175"/>
      <c r="F908" s="122"/>
      <c r="G908" s="122"/>
      <c r="H908" s="122"/>
      <c r="I908" s="122"/>
      <c r="J908" s="173"/>
      <c r="K908" s="181"/>
      <c r="L908" s="181"/>
      <c r="M908" s="181"/>
      <c r="N908" s="181"/>
      <c r="O908" s="181"/>
      <c r="P908" s="181"/>
      <c r="Q908" s="181"/>
      <c r="R908" s="181"/>
      <c r="S908" s="181"/>
      <c r="T908" s="181"/>
      <c r="U908" s="181"/>
      <c r="V908" s="181"/>
      <c r="W908" s="181"/>
      <c r="X908" s="181"/>
      <c r="Y908" s="181"/>
    </row>
    <row r="909" spans="1:25" ht="15.75" hidden="1" customHeight="1" x14ac:dyDescent="0.2">
      <c r="A909" s="181"/>
      <c r="B909" s="174"/>
      <c r="C909" s="175"/>
      <c r="D909" s="175"/>
      <c r="E909" s="175"/>
      <c r="F909" s="122"/>
      <c r="G909" s="122"/>
      <c r="H909" s="122"/>
      <c r="I909" s="122"/>
      <c r="J909" s="173"/>
      <c r="K909" s="181"/>
      <c r="L909" s="181"/>
      <c r="M909" s="181"/>
      <c r="N909" s="181"/>
      <c r="O909" s="181"/>
      <c r="P909" s="181"/>
      <c r="Q909" s="181"/>
      <c r="R909" s="181"/>
      <c r="S909" s="181"/>
      <c r="T909" s="181"/>
      <c r="U909" s="181"/>
      <c r="V909" s="181"/>
      <c r="W909" s="181"/>
      <c r="X909" s="181"/>
      <c r="Y909" s="181"/>
    </row>
    <row r="910" spans="1:25" ht="15.75" hidden="1" customHeight="1" x14ac:dyDescent="0.2">
      <c r="A910" s="181"/>
      <c r="B910" s="174"/>
      <c r="C910" s="175"/>
      <c r="D910" s="175"/>
      <c r="E910" s="175"/>
      <c r="F910" s="122"/>
      <c r="G910" s="122"/>
      <c r="H910" s="122"/>
      <c r="I910" s="122"/>
      <c r="J910" s="173"/>
      <c r="K910" s="181"/>
      <c r="L910" s="181"/>
      <c r="M910" s="181"/>
      <c r="N910" s="181"/>
      <c r="O910" s="181"/>
      <c r="P910" s="181"/>
      <c r="Q910" s="181"/>
      <c r="R910" s="181"/>
      <c r="S910" s="181"/>
      <c r="T910" s="181"/>
      <c r="U910" s="181"/>
      <c r="V910" s="181"/>
      <c r="W910" s="181"/>
      <c r="X910" s="181"/>
      <c r="Y910" s="181"/>
    </row>
    <row r="911" spans="1:25" ht="15.75" hidden="1" customHeight="1" x14ac:dyDescent="0.2">
      <c r="A911" s="181"/>
      <c r="B911" s="174"/>
      <c r="C911" s="175"/>
      <c r="D911" s="175"/>
      <c r="E911" s="175"/>
      <c r="F911" s="122"/>
      <c r="G911" s="122"/>
      <c r="H911" s="122"/>
      <c r="I911" s="122"/>
      <c r="J911" s="173"/>
      <c r="K911" s="181"/>
      <c r="L911" s="181"/>
      <c r="M911" s="181"/>
      <c r="N911" s="181"/>
      <c r="O911" s="181"/>
      <c r="P911" s="181"/>
      <c r="Q911" s="181"/>
      <c r="R911" s="181"/>
      <c r="S911" s="181"/>
      <c r="T911" s="181"/>
      <c r="U911" s="181"/>
      <c r="V911" s="181"/>
      <c r="W911" s="181"/>
      <c r="X911" s="181"/>
      <c r="Y911" s="181"/>
    </row>
    <row r="912" spans="1:25" ht="15.75" hidden="1" customHeight="1" x14ac:dyDescent="0.2">
      <c r="A912" s="181"/>
      <c r="B912" s="174"/>
      <c r="C912" s="175"/>
      <c r="D912" s="175"/>
      <c r="E912" s="175"/>
      <c r="F912" s="122"/>
      <c r="G912" s="122"/>
      <c r="H912" s="122"/>
      <c r="I912" s="122"/>
      <c r="J912" s="173"/>
      <c r="K912" s="181"/>
      <c r="L912" s="181"/>
      <c r="M912" s="181"/>
      <c r="N912" s="181"/>
      <c r="O912" s="181"/>
      <c r="P912" s="181"/>
      <c r="Q912" s="181"/>
      <c r="R912" s="181"/>
      <c r="S912" s="181"/>
      <c r="T912" s="181"/>
      <c r="U912" s="181"/>
      <c r="V912" s="181"/>
      <c r="W912" s="181"/>
      <c r="X912" s="181"/>
      <c r="Y912" s="181"/>
    </row>
    <row r="913" spans="1:25" ht="15.75" hidden="1" customHeight="1" x14ac:dyDescent="0.2">
      <c r="A913" s="181"/>
      <c r="B913" s="174"/>
      <c r="C913" s="175"/>
      <c r="D913" s="175"/>
      <c r="E913" s="175"/>
      <c r="F913" s="122"/>
      <c r="G913" s="122"/>
      <c r="H913" s="122"/>
      <c r="I913" s="122"/>
      <c r="J913" s="173"/>
      <c r="K913" s="181"/>
      <c r="L913" s="181"/>
      <c r="M913" s="181"/>
      <c r="N913" s="181"/>
      <c r="O913" s="181"/>
      <c r="P913" s="181"/>
      <c r="Q913" s="181"/>
      <c r="R913" s="181"/>
      <c r="S913" s="181"/>
      <c r="T913" s="181"/>
      <c r="U913" s="181"/>
      <c r="V913" s="181"/>
      <c r="W913" s="181"/>
      <c r="X913" s="181"/>
      <c r="Y913" s="181"/>
    </row>
    <row r="914" spans="1:25" ht="15.75" hidden="1" customHeight="1" x14ac:dyDescent="0.2">
      <c r="A914" s="181"/>
      <c r="B914" s="174"/>
      <c r="C914" s="175"/>
      <c r="D914" s="175"/>
      <c r="E914" s="175"/>
      <c r="F914" s="122"/>
      <c r="G914" s="122"/>
      <c r="H914" s="122"/>
      <c r="I914" s="122"/>
      <c r="J914" s="173"/>
      <c r="K914" s="181"/>
      <c r="L914" s="181"/>
      <c r="M914" s="181"/>
      <c r="N914" s="181"/>
      <c r="O914" s="181"/>
      <c r="P914" s="181"/>
      <c r="Q914" s="181"/>
      <c r="R914" s="181"/>
      <c r="S914" s="181"/>
      <c r="T914" s="181"/>
      <c r="U914" s="181"/>
      <c r="V914" s="181"/>
      <c r="W914" s="181"/>
      <c r="X914" s="181"/>
      <c r="Y914" s="181"/>
    </row>
    <row r="915" spans="1:25" ht="15.75" hidden="1" customHeight="1" x14ac:dyDescent="0.2">
      <c r="A915" s="181"/>
      <c r="B915" s="174"/>
      <c r="C915" s="175"/>
      <c r="D915" s="175"/>
      <c r="E915" s="175"/>
      <c r="F915" s="122"/>
      <c r="G915" s="122"/>
      <c r="H915" s="122"/>
      <c r="I915" s="122"/>
      <c r="J915" s="173"/>
      <c r="K915" s="181"/>
      <c r="L915" s="181"/>
      <c r="M915" s="181"/>
      <c r="N915" s="181"/>
      <c r="O915" s="181"/>
      <c r="P915" s="181"/>
      <c r="Q915" s="181"/>
      <c r="R915" s="181"/>
      <c r="S915" s="181"/>
      <c r="T915" s="181"/>
      <c r="U915" s="181"/>
      <c r="V915" s="181"/>
      <c r="W915" s="181"/>
      <c r="X915" s="181"/>
      <c r="Y915" s="181"/>
    </row>
    <row r="916" spans="1:25" ht="15.75" hidden="1" customHeight="1" x14ac:dyDescent="0.2">
      <c r="A916" s="181"/>
      <c r="B916" s="174"/>
      <c r="C916" s="175"/>
      <c r="D916" s="175"/>
      <c r="E916" s="175"/>
      <c r="F916" s="122"/>
      <c r="G916" s="122"/>
      <c r="H916" s="122"/>
      <c r="I916" s="122"/>
      <c r="J916" s="173"/>
      <c r="K916" s="181"/>
      <c r="L916" s="181"/>
      <c r="M916" s="181"/>
      <c r="N916" s="181"/>
      <c r="O916" s="181"/>
      <c r="P916" s="181"/>
      <c r="Q916" s="181"/>
      <c r="R916" s="181"/>
      <c r="S916" s="181"/>
      <c r="T916" s="181"/>
      <c r="U916" s="181"/>
      <c r="V916" s="181"/>
      <c r="W916" s="181"/>
      <c r="X916" s="181"/>
      <c r="Y916" s="181"/>
    </row>
    <row r="917" spans="1:25" ht="15.75" hidden="1" customHeight="1" x14ac:dyDescent="0.2">
      <c r="A917" s="181"/>
      <c r="B917" s="174"/>
      <c r="C917" s="175"/>
      <c r="D917" s="175"/>
      <c r="E917" s="175"/>
      <c r="F917" s="122"/>
      <c r="G917" s="122"/>
      <c r="H917" s="122"/>
      <c r="I917" s="122"/>
      <c r="J917" s="173"/>
      <c r="K917" s="181"/>
      <c r="L917" s="181"/>
      <c r="M917" s="181"/>
      <c r="N917" s="181"/>
      <c r="O917" s="181"/>
      <c r="P917" s="181"/>
      <c r="Q917" s="181"/>
      <c r="R917" s="181"/>
      <c r="S917" s="181"/>
      <c r="T917" s="181"/>
      <c r="U917" s="181"/>
      <c r="V917" s="181"/>
      <c r="W917" s="181"/>
      <c r="X917" s="181"/>
      <c r="Y917" s="181"/>
    </row>
    <row r="918" spans="1:25" ht="15.75" hidden="1" customHeight="1" x14ac:dyDescent="0.2">
      <c r="A918" s="181"/>
      <c r="B918" s="174"/>
      <c r="C918" s="175"/>
      <c r="D918" s="175"/>
      <c r="E918" s="175"/>
      <c r="F918" s="122"/>
      <c r="G918" s="122"/>
      <c r="H918" s="122"/>
      <c r="I918" s="122"/>
      <c r="J918" s="173"/>
      <c r="K918" s="181"/>
      <c r="L918" s="181"/>
      <c r="M918" s="181"/>
      <c r="N918" s="181"/>
      <c r="O918" s="181"/>
      <c r="P918" s="181"/>
      <c r="Q918" s="181"/>
      <c r="R918" s="181"/>
      <c r="S918" s="181"/>
      <c r="T918" s="181"/>
      <c r="U918" s="181"/>
      <c r="V918" s="181"/>
      <c r="W918" s="181"/>
      <c r="X918" s="181"/>
      <c r="Y918" s="181"/>
    </row>
    <row r="919" spans="1:25" ht="15.75" hidden="1" customHeight="1" x14ac:dyDescent="0.2">
      <c r="A919" s="181"/>
      <c r="B919" s="174"/>
      <c r="C919" s="175"/>
      <c r="D919" s="175"/>
      <c r="E919" s="175"/>
      <c r="F919" s="122"/>
      <c r="G919" s="122"/>
      <c r="H919" s="122"/>
      <c r="I919" s="122"/>
      <c r="J919" s="173"/>
      <c r="K919" s="181"/>
      <c r="L919" s="181"/>
      <c r="M919" s="181"/>
      <c r="N919" s="181"/>
      <c r="O919" s="181"/>
      <c r="P919" s="181"/>
      <c r="Q919" s="181"/>
      <c r="R919" s="181"/>
      <c r="S919" s="181"/>
      <c r="T919" s="181"/>
      <c r="U919" s="181"/>
      <c r="V919" s="181"/>
      <c r="W919" s="181"/>
      <c r="X919" s="181"/>
      <c r="Y919" s="181"/>
    </row>
    <row r="920" spans="1:25" ht="15.75" hidden="1" customHeight="1" x14ac:dyDescent="0.2">
      <c r="A920" s="181"/>
      <c r="B920" s="174"/>
      <c r="C920" s="175"/>
      <c r="D920" s="175"/>
      <c r="E920" s="175"/>
      <c r="F920" s="122"/>
      <c r="G920" s="122"/>
      <c r="H920" s="122"/>
      <c r="I920" s="122"/>
      <c r="J920" s="173"/>
      <c r="K920" s="181"/>
      <c r="L920" s="181"/>
      <c r="M920" s="181"/>
      <c r="N920" s="181"/>
      <c r="O920" s="181"/>
      <c r="P920" s="181"/>
      <c r="Q920" s="181"/>
      <c r="R920" s="181"/>
      <c r="S920" s="181"/>
      <c r="T920" s="181"/>
      <c r="U920" s="181"/>
      <c r="V920" s="181"/>
      <c r="W920" s="181"/>
      <c r="X920" s="181"/>
      <c r="Y920" s="181"/>
    </row>
    <row r="921" spans="1:25" ht="15.75" hidden="1" customHeight="1" x14ac:dyDescent="0.2">
      <c r="A921" s="181"/>
      <c r="B921" s="174"/>
      <c r="C921" s="175"/>
      <c r="D921" s="175"/>
      <c r="E921" s="175"/>
      <c r="F921" s="122"/>
      <c r="G921" s="122"/>
      <c r="H921" s="122"/>
      <c r="I921" s="122"/>
      <c r="J921" s="173"/>
      <c r="K921" s="181"/>
      <c r="L921" s="181"/>
      <c r="M921" s="181"/>
      <c r="N921" s="181"/>
      <c r="O921" s="181"/>
      <c r="P921" s="181"/>
      <c r="Q921" s="181"/>
      <c r="R921" s="181"/>
      <c r="S921" s="181"/>
      <c r="T921" s="181"/>
      <c r="U921" s="181"/>
      <c r="V921" s="181"/>
      <c r="W921" s="181"/>
      <c r="X921" s="181"/>
      <c r="Y921" s="181"/>
    </row>
    <row r="922" spans="1:25" ht="15.75" hidden="1" customHeight="1" x14ac:dyDescent="0.2">
      <c r="A922" s="181"/>
      <c r="B922" s="174"/>
      <c r="C922" s="175"/>
      <c r="D922" s="175"/>
      <c r="E922" s="175"/>
      <c r="F922" s="122"/>
      <c r="G922" s="122"/>
      <c r="H922" s="122"/>
      <c r="I922" s="122"/>
      <c r="J922" s="173"/>
      <c r="K922" s="181"/>
      <c r="L922" s="181"/>
      <c r="M922" s="181"/>
      <c r="N922" s="181"/>
      <c r="O922" s="181"/>
      <c r="P922" s="181"/>
      <c r="Q922" s="181"/>
      <c r="R922" s="181"/>
      <c r="S922" s="181"/>
      <c r="T922" s="181"/>
      <c r="U922" s="181"/>
      <c r="V922" s="181"/>
      <c r="W922" s="181"/>
      <c r="X922" s="181"/>
      <c r="Y922" s="181"/>
    </row>
    <row r="923" spans="1:25" ht="15.75" hidden="1" customHeight="1" x14ac:dyDescent="0.2">
      <c r="A923" s="181"/>
      <c r="B923" s="174"/>
      <c r="C923" s="175"/>
      <c r="D923" s="175"/>
      <c r="E923" s="175"/>
      <c r="F923" s="122"/>
      <c r="G923" s="122"/>
      <c r="H923" s="122"/>
      <c r="I923" s="122"/>
      <c r="J923" s="173"/>
      <c r="K923" s="181"/>
      <c r="L923" s="181"/>
      <c r="M923" s="181"/>
      <c r="N923" s="181"/>
      <c r="O923" s="181"/>
      <c r="P923" s="181"/>
      <c r="Q923" s="181"/>
      <c r="R923" s="181"/>
      <c r="S923" s="181"/>
      <c r="T923" s="181"/>
      <c r="U923" s="181"/>
      <c r="V923" s="181"/>
      <c r="W923" s="181"/>
      <c r="X923" s="181"/>
      <c r="Y923" s="181"/>
    </row>
    <row r="924" spans="1:25" ht="15.75" hidden="1" customHeight="1" x14ac:dyDescent="0.2">
      <c r="A924" s="181"/>
      <c r="B924" s="174"/>
      <c r="C924" s="175"/>
      <c r="D924" s="175"/>
      <c r="E924" s="175"/>
      <c r="F924" s="122"/>
      <c r="G924" s="122"/>
      <c r="H924" s="122"/>
      <c r="I924" s="122"/>
      <c r="J924" s="173"/>
      <c r="K924" s="181"/>
      <c r="L924" s="181"/>
      <c r="M924" s="181"/>
      <c r="N924" s="181"/>
      <c r="O924" s="181"/>
      <c r="P924" s="181"/>
      <c r="Q924" s="181"/>
      <c r="R924" s="181"/>
      <c r="S924" s="181"/>
      <c r="T924" s="181"/>
      <c r="U924" s="181"/>
      <c r="V924" s="181"/>
      <c r="W924" s="181"/>
      <c r="X924" s="181"/>
      <c r="Y924" s="181"/>
    </row>
    <row r="925" spans="1:25" ht="15.75" hidden="1" customHeight="1" x14ac:dyDescent="0.2">
      <c r="A925" s="181"/>
      <c r="B925" s="174"/>
      <c r="C925" s="175"/>
      <c r="D925" s="175"/>
      <c r="E925" s="175"/>
      <c r="F925" s="122"/>
      <c r="G925" s="122"/>
      <c r="H925" s="122"/>
      <c r="I925" s="122"/>
      <c r="J925" s="173"/>
      <c r="K925" s="181"/>
      <c r="L925" s="181"/>
      <c r="M925" s="181"/>
      <c r="N925" s="181"/>
      <c r="O925" s="181"/>
      <c r="P925" s="181"/>
      <c r="Q925" s="181"/>
      <c r="R925" s="181"/>
      <c r="S925" s="181"/>
      <c r="T925" s="181"/>
      <c r="U925" s="181"/>
      <c r="V925" s="181"/>
      <c r="W925" s="181"/>
      <c r="X925" s="181"/>
      <c r="Y925" s="181"/>
    </row>
    <row r="926" spans="1:25" ht="15.75" hidden="1" customHeight="1" x14ac:dyDescent="0.2">
      <c r="A926" s="181"/>
      <c r="B926" s="174"/>
      <c r="C926" s="175"/>
      <c r="D926" s="175"/>
      <c r="E926" s="175"/>
      <c r="F926" s="122"/>
      <c r="G926" s="122"/>
      <c r="H926" s="122"/>
      <c r="I926" s="122"/>
      <c r="J926" s="173"/>
      <c r="K926" s="181"/>
      <c r="L926" s="181"/>
      <c r="M926" s="181"/>
      <c r="N926" s="181"/>
      <c r="O926" s="181"/>
      <c r="P926" s="181"/>
      <c r="Q926" s="181"/>
      <c r="R926" s="181"/>
      <c r="S926" s="181"/>
      <c r="T926" s="181"/>
      <c r="U926" s="181"/>
      <c r="V926" s="181"/>
      <c r="W926" s="181"/>
      <c r="X926" s="181"/>
      <c r="Y926" s="181"/>
    </row>
    <row r="927" spans="1:25" ht="15.75" hidden="1" customHeight="1" x14ac:dyDescent="0.2">
      <c r="A927" s="181"/>
      <c r="B927" s="174"/>
      <c r="C927" s="175"/>
      <c r="D927" s="175"/>
      <c r="E927" s="175"/>
      <c r="F927" s="122"/>
      <c r="G927" s="122"/>
      <c r="H927" s="122"/>
      <c r="I927" s="122"/>
      <c r="J927" s="173"/>
      <c r="K927" s="181"/>
      <c r="L927" s="181"/>
      <c r="M927" s="181"/>
      <c r="N927" s="181"/>
      <c r="O927" s="181"/>
      <c r="P927" s="181"/>
      <c r="Q927" s="181"/>
      <c r="R927" s="181"/>
      <c r="S927" s="181"/>
      <c r="T927" s="181"/>
      <c r="U927" s="181"/>
      <c r="V927" s="181"/>
      <c r="W927" s="181"/>
      <c r="X927" s="181"/>
      <c r="Y927" s="181"/>
    </row>
    <row r="928" spans="1:25" ht="15.75" hidden="1" customHeight="1" x14ac:dyDescent="0.2">
      <c r="A928" s="181"/>
      <c r="B928" s="174"/>
      <c r="C928" s="175"/>
      <c r="D928" s="175"/>
      <c r="E928" s="175"/>
      <c r="F928" s="122"/>
      <c r="G928" s="122"/>
      <c r="H928" s="122"/>
      <c r="I928" s="122"/>
      <c r="J928" s="173"/>
      <c r="K928" s="181"/>
      <c r="L928" s="181"/>
      <c r="M928" s="181"/>
      <c r="N928" s="181"/>
      <c r="O928" s="181"/>
      <c r="P928" s="181"/>
      <c r="Q928" s="181"/>
      <c r="R928" s="181"/>
      <c r="S928" s="181"/>
      <c r="T928" s="181"/>
      <c r="U928" s="181"/>
      <c r="V928" s="181"/>
      <c r="W928" s="181"/>
      <c r="X928" s="181"/>
      <c r="Y928" s="181"/>
    </row>
    <row r="929" spans="1:25" ht="15.75" hidden="1" customHeight="1" x14ac:dyDescent="0.2">
      <c r="A929" s="181"/>
      <c r="B929" s="174"/>
      <c r="C929" s="175"/>
      <c r="D929" s="175"/>
      <c r="E929" s="175"/>
      <c r="F929" s="122"/>
      <c r="G929" s="122"/>
      <c r="H929" s="122"/>
      <c r="I929" s="122"/>
      <c r="J929" s="173"/>
      <c r="K929" s="181"/>
      <c r="L929" s="181"/>
      <c r="M929" s="181"/>
      <c r="N929" s="181"/>
      <c r="O929" s="181"/>
      <c r="P929" s="181"/>
      <c r="Q929" s="181"/>
      <c r="R929" s="181"/>
      <c r="S929" s="181"/>
      <c r="T929" s="181"/>
      <c r="U929" s="181"/>
      <c r="V929" s="181"/>
      <c r="W929" s="181"/>
      <c r="X929" s="181"/>
      <c r="Y929" s="181"/>
    </row>
    <row r="930" spans="1:25" ht="15.75" hidden="1" customHeight="1" x14ac:dyDescent="0.2">
      <c r="A930" s="181"/>
      <c r="B930" s="174"/>
      <c r="C930" s="175"/>
      <c r="D930" s="175"/>
      <c r="E930" s="175"/>
      <c r="F930" s="122"/>
      <c r="G930" s="122"/>
      <c r="H930" s="122"/>
      <c r="I930" s="122"/>
      <c r="J930" s="173"/>
      <c r="K930" s="181"/>
      <c r="L930" s="181"/>
      <c r="M930" s="181"/>
      <c r="N930" s="181"/>
      <c r="O930" s="181"/>
      <c r="P930" s="181"/>
      <c r="Q930" s="181"/>
      <c r="R930" s="181"/>
      <c r="S930" s="181"/>
      <c r="T930" s="181"/>
      <c r="U930" s="181"/>
      <c r="V930" s="181"/>
      <c r="W930" s="181"/>
      <c r="X930" s="181"/>
      <c r="Y930" s="181"/>
    </row>
    <row r="931" spans="1:25" ht="15.75" hidden="1" customHeight="1" x14ac:dyDescent="0.2">
      <c r="A931" s="181"/>
      <c r="B931" s="174"/>
      <c r="C931" s="175"/>
      <c r="D931" s="175"/>
      <c r="E931" s="175"/>
      <c r="F931" s="122"/>
      <c r="G931" s="122"/>
      <c r="H931" s="122"/>
      <c r="I931" s="122"/>
      <c r="J931" s="173"/>
      <c r="K931" s="181"/>
      <c r="L931" s="181"/>
      <c r="M931" s="181"/>
      <c r="N931" s="181"/>
      <c r="O931" s="181"/>
      <c r="P931" s="181"/>
      <c r="Q931" s="181"/>
      <c r="R931" s="181"/>
      <c r="S931" s="181"/>
      <c r="T931" s="181"/>
      <c r="U931" s="181"/>
      <c r="V931" s="181"/>
      <c r="W931" s="181"/>
      <c r="X931" s="181"/>
      <c r="Y931" s="181"/>
    </row>
    <row r="932" spans="1:25" ht="15.75" hidden="1" customHeight="1" x14ac:dyDescent="0.2">
      <c r="A932" s="181"/>
      <c r="B932" s="174"/>
      <c r="C932" s="175"/>
      <c r="D932" s="175"/>
      <c r="E932" s="175"/>
      <c r="F932" s="122"/>
      <c r="G932" s="122"/>
      <c r="H932" s="122"/>
      <c r="I932" s="122"/>
      <c r="J932" s="173"/>
      <c r="K932" s="181"/>
      <c r="L932" s="181"/>
      <c r="M932" s="181"/>
      <c r="N932" s="181"/>
      <c r="O932" s="181"/>
      <c r="P932" s="181"/>
      <c r="Q932" s="181"/>
      <c r="R932" s="181"/>
      <c r="S932" s="181"/>
      <c r="T932" s="181"/>
      <c r="U932" s="181"/>
      <c r="V932" s="181"/>
      <c r="W932" s="181"/>
      <c r="X932" s="181"/>
      <c r="Y932" s="181"/>
    </row>
    <row r="933" spans="1:25" ht="15.75" hidden="1" customHeight="1" x14ac:dyDescent="0.2">
      <c r="A933" s="181"/>
      <c r="B933" s="174"/>
      <c r="C933" s="175"/>
      <c r="D933" s="175"/>
      <c r="E933" s="175"/>
      <c r="F933" s="122"/>
      <c r="G933" s="122"/>
      <c r="H933" s="122"/>
      <c r="I933" s="122"/>
      <c r="J933" s="173"/>
      <c r="K933" s="181"/>
      <c r="L933" s="181"/>
      <c r="M933" s="181"/>
      <c r="N933" s="181"/>
      <c r="O933" s="181"/>
      <c r="P933" s="181"/>
      <c r="Q933" s="181"/>
      <c r="R933" s="181"/>
      <c r="S933" s="181"/>
      <c r="T933" s="181"/>
      <c r="U933" s="181"/>
      <c r="V933" s="181"/>
      <c r="W933" s="181"/>
      <c r="X933" s="181"/>
      <c r="Y933" s="181"/>
    </row>
    <row r="934" spans="1:25" ht="15.75" hidden="1" customHeight="1" x14ac:dyDescent="0.2">
      <c r="A934" s="181"/>
      <c r="B934" s="174"/>
      <c r="C934" s="175"/>
      <c r="D934" s="175"/>
      <c r="E934" s="175"/>
      <c r="F934" s="122"/>
      <c r="G934" s="122"/>
      <c r="H934" s="122"/>
      <c r="I934" s="122"/>
      <c r="J934" s="173"/>
      <c r="K934" s="181"/>
      <c r="L934" s="181"/>
      <c r="M934" s="181"/>
      <c r="N934" s="181"/>
      <c r="O934" s="181"/>
      <c r="P934" s="181"/>
      <c r="Q934" s="181"/>
      <c r="R934" s="181"/>
      <c r="S934" s="181"/>
      <c r="T934" s="181"/>
      <c r="U934" s="181"/>
      <c r="V934" s="181"/>
      <c r="W934" s="181"/>
      <c r="X934" s="181"/>
      <c r="Y934" s="181"/>
    </row>
    <row r="935" spans="1:25" ht="15.75" hidden="1" customHeight="1" x14ac:dyDescent="0.2">
      <c r="A935" s="181"/>
      <c r="B935" s="174"/>
      <c r="C935" s="175"/>
      <c r="D935" s="175"/>
      <c r="E935" s="175"/>
      <c r="F935" s="122"/>
      <c r="G935" s="122"/>
      <c r="H935" s="122"/>
      <c r="I935" s="122"/>
      <c r="J935" s="173"/>
      <c r="K935" s="181"/>
      <c r="L935" s="181"/>
      <c r="M935" s="181"/>
      <c r="N935" s="181"/>
      <c r="O935" s="181"/>
      <c r="P935" s="181"/>
      <c r="Q935" s="181"/>
      <c r="R935" s="181"/>
      <c r="S935" s="181"/>
      <c r="T935" s="181"/>
      <c r="U935" s="181"/>
      <c r="V935" s="181"/>
      <c r="W935" s="181"/>
      <c r="X935" s="181"/>
      <c r="Y935" s="181"/>
    </row>
    <row r="936" spans="1:25" ht="15.75" hidden="1" customHeight="1" x14ac:dyDescent="0.2">
      <c r="A936" s="181"/>
      <c r="B936" s="174"/>
      <c r="C936" s="175"/>
      <c r="D936" s="175"/>
      <c r="E936" s="175"/>
      <c r="F936" s="122"/>
      <c r="G936" s="122"/>
      <c r="H936" s="122"/>
      <c r="I936" s="122"/>
      <c r="J936" s="173"/>
      <c r="K936" s="181"/>
      <c r="L936" s="181"/>
      <c r="M936" s="181"/>
      <c r="N936" s="181"/>
      <c r="O936" s="181"/>
      <c r="P936" s="181"/>
      <c r="Q936" s="181"/>
      <c r="R936" s="181"/>
      <c r="S936" s="181"/>
      <c r="T936" s="181"/>
      <c r="U936" s="181"/>
      <c r="V936" s="181"/>
      <c r="W936" s="181"/>
      <c r="X936" s="181"/>
      <c r="Y936" s="181"/>
    </row>
    <row r="937" spans="1:25" ht="15.75" hidden="1" customHeight="1" x14ac:dyDescent="0.2">
      <c r="A937" s="181"/>
      <c r="B937" s="174"/>
      <c r="C937" s="175"/>
      <c r="D937" s="175"/>
      <c r="E937" s="175"/>
      <c r="F937" s="122"/>
      <c r="G937" s="122"/>
      <c r="H937" s="122"/>
      <c r="I937" s="122"/>
      <c r="J937" s="173"/>
      <c r="K937" s="181"/>
      <c r="L937" s="181"/>
      <c r="M937" s="181"/>
      <c r="N937" s="181"/>
      <c r="O937" s="181"/>
      <c r="P937" s="181"/>
      <c r="Q937" s="181"/>
      <c r="R937" s="181"/>
      <c r="S937" s="181"/>
      <c r="T937" s="181"/>
      <c r="U937" s="181"/>
      <c r="V937" s="181"/>
      <c r="W937" s="181"/>
      <c r="X937" s="181"/>
      <c r="Y937" s="181"/>
    </row>
    <row r="938" spans="1:25" ht="15.75" hidden="1" customHeight="1" x14ac:dyDescent="0.2">
      <c r="A938" s="181"/>
      <c r="B938" s="174"/>
      <c r="C938" s="175"/>
      <c r="D938" s="175"/>
      <c r="E938" s="175"/>
      <c r="F938" s="122"/>
      <c r="G938" s="122"/>
      <c r="H938" s="122"/>
      <c r="I938" s="122"/>
      <c r="J938" s="173"/>
      <c r="K938" s="181"/>
      <c r="L938" s="181"/>
      <c r="M938" s="181"/>
      <c r="N938" s="181"/>
      <c r="O938" s="181"/>
      <c r="P938" s="181"/>
      <c r="Q938" s="181"/>
      <c r="R938" s="181"/>
      <c r="S938" s="181"/>
      <c r="T938" s="181"/>
      <c r="U938" s="181"/>
      <c r="V938" s="181"/>
      <c r="W938" s="181"/>
      <c r="X938" s="181"/>
      <c r="Y938" s="181"/>
    </row>
    <row r="939" spans="1:25" ht="15.75" hidden="1" customHeight="1" x14ac:dyDescent="0.2">
      <c r="A939" s="181"/>
      <c r="B939" s="174"/>
      <c r="C939" s="175"/>
      <c r="D939" s="175"/>
      <c r="E939" s="175"/>
      <c r="F939" s="122"/>
      <c r="G939" s="122"/>
      <c r="H939" s="122"/>
      <c r="I939" s="122"/>
      <c r="J939" s="173"/>
      <c r="K939" s="181"/>
      <c r="L939" s="181"/>
      <c r="M939" s="181"/>
      <c r="N939" s="181"/>
      <c r="O939" s="181"/>
      <c r="P939" s="181"/>
      <c r="Q939" s="181"/>
      <c r="R939" s="181"/>
      <c r="S939" s="181"/>
      <c r="T939" s="181"/>
      <c r="U939" s="181"/>
      <c r="V939" s="181"/>
      <c r="W939" s="181"/>
      <c r="X939" s="181"/>
      <c r="Y939" s="181"/>
    </row>
    <row r="940" spans="1:25" ht="15.75" hidden="1" customHeight="1" x14ac:dyDescent="0.2">
      <c r="A940" s="181"/>
      <c r="B940" s="174"/>
      <c r="C940" s="175"/>
      <c r="D940" s="175"/>
      <c r="E940" s="175"/>
      <c r="F940" s="122"/>
      <c r="G940" s="122"/>
      <c r="H940" s="122"/>
      <c r="I940" s="122"/>
      <c r="J940" s="173"/>
      <c r="K940" s="181"/>
      <c r="L940" s="181"/>
      <c r="M940" s="181"/>
      <c r="N940" s="181"/>
      <c r="O940" s="181"/>
      <c r="P940" s="181"/>
      <c r="Q940" s="181"/>
      <c r="R940" s="181"/>
      <c r="S940" s="181"/>
      <c r="T940" s="181"/>
      <c r="U940" s="181"/>
      <c r="V940" s="181"/>
      <c r="W940" s="181"/>
      <c r="X940" s="181"/>
      <c r="Y940" s="181"/>
    </row>
    <row r="941" spans="1:25" ht="15.75" hidden="1" customHeight="1" x14ac:dyDescent="0.2">
      <c r="A941" s="181"/>
      <c r="B941" s="174"/>
      <c r="C941" s="175"/>
      <c r="D941" s="175"/>
      <c r="E941" s="175"/>
      <c r="F941" s="122"/>
      <c r="G941" s="122"/>
      <c r="H941" s="122"/>
      <c r="I941" s="122"/>
      <c r="J941" s="173"/>
      <c r="K941" s="181"/>
      <c r="L941" s="181"/>
      <c r="M941" s="181"/>
      <c r="N941" s="181"/>
      <c r="O941" s="181"/>
      <c r="P941" s="181"/>
      <c r="Q941" s="181"/>
      <c r="R941" s="181"/>
      <c r="S941" s="181"/>
      <c r="T941" s="181"/>
      <c r="U941" s="181"/>
      <c r="V941" s="181"/>
      <c r="W941" s="181"/>
      <c r="X941" s="181"/>
      <c r="Y941" s="181"/>
    </row>
    <row r="942" spans="1:25" ht="15.75" hidden="1" customHeight="1" x14ac:dyDescent="0.2">
      <c r="A942" s="181"/>
      <c r="B942" s="174"/>
      <c r="C942" s="175"/>
      <c r="D942" s="175"/>
      <c r="E942" s="175"/>
      <c r="F942" s="122"/>
      <c r="G942" s="122"/>
      <c r="H942" s="122"/>
      <c r="I942" s="122"/>
      <c r="J942" s="173"/>
      <c r="K942" s="181"/>
      <c r="L942" s="181"/>
      <c r="M942" s="181"/>
      <c r="N942" s="181"/>
      <c r="O942" s="181"/>
      <c r="P942" s="181"/>
      <c r="Q942" s="181"/>
      <c r="R942" s="181"/>
      <c r="S942" s="181"/>
      <c r="T942" s="181"/>
      <c r="U942" s="181"/>
      <c r="V942" s="181"/>
      <c r="W942" s="181"/>
      <c r="X942" s="181"/>
      <c r="Y942" s="181"/>
    </row>
    <row r="943" spans="1:25" ht="15.75" hidden="1" customHeight="1" x14ac:dyDescent="0.2">
      <c r="A943" s="181"/>
      <c r="B943" s="174"/>
      <c r="C943" s="175"/>
      <c r="D943" s="175"/>
      <c r="E943" s="175"/>
      <c r="F943" s="122"/>
      <c r="G943" s="122"/>
      <c r="H943" s="122"/>
      <c r="I943" s="122"/>
      <c r="J943" s="173"/>
      <c r="K943" s="181"/>
      <c r="L943" s="181"/>
      <c r="M943" s="181"/>
      <c r="N943" s="181"/>
      <c r="O943" s="181"/>
      <c r="P943" s="181"/>
      <c r="Q943" s="181"/>
      <c r="R943" s="181"/>
      <c r="S943" s="181"/>
      <c r="T943" s="181"/>
      <c r="U943" s="181"/>
      <c r="V943" s="181"/>
      <c r="W943" s="181"/>
      <c r="X943" s="181"/>
      <c r="Y943" s="181"/>
    </row>
    <row r="944" spans="1:25" ht="15.75" hidden="1" customHeight="1" x14ac:dyDescent="0.2">
      <c r="A944" s="181"/>
      <c r="B944" s="174"/>
      <c r="C944" s="175"/>
      <c r="D944" s="175"/>
      <c r="E944" s="175"/>
      <c r="F944" s="122"/>
      <c r="G944" s="122"/>
      <c r="H944" s="122"/>
      <c r="I944" s="122"/>
      <c r="J944" s="173"/>
      <c r="K944" s="181"/>
      <c r="L944" s="181"/>
      <c r="M944" s="181"/>
      <c r="N944" s="181"/>
      <c r="O944" s="181"/>
      <c r="P944" s="181"/>
      <c r="Q944" s="181"/>
      <c r="R944" s="181"/>
      <c r="S944" s="181"/>
      <c r="T944" s="181"/>
      <c r="U944" s="181"/>
      <c r="V944" s="181"/>
      <c r="W944" s="181"/>
      <c r="X944" s="181"/>
      <c r="Y944" s="181"/>
    </row>
    <row r="945" spans="1:25" ht="15.75" hidden="1" customHeight="1" x14ac:dyDescent="0.2">
      <c r="A945" s="181"/>
      <c r="B945" s="174"/>
      <c r="C945" s="175"/>
      <c r="D945" s="175"/>
      <c r="E945" s="175"/>
      <c r="F945" s="122"/>
      <c r="G945" s="122"/>
      <c r="H945" s="122"/>
      <c r="I945" s="122"/>
      <c r="J945" s="173"/>
      <c r="K945" s="181"/>
      <c r="L945" s="181"/>
      <c r="M945" s="181"/>
      <c r="N945" s="181"/>
      <c r="O945" s="181"/>
      <c r="P945" s="181"/>
      <c r="Q945" s="181"/>
      <c r="R945" s="181"/>
      <c r="S945" s="181"/>
      <c r="T945" s="181"/>
      <c r="U945" s="181"/>
      <c r="V945" s="181"/>
      <c r="W945" s="181"/>
      <c r="X945" s="181"/>
      <c r="Y945" s="181"/>
    </row>
    <row r="946" spans="1:25" ht="15.75" hidden="1" customHeight="1" x14ac:dyDescent="0.2">
      <c r="A946" s="181"/>
      <c r="B946" s="174"/>
      <c r="C946" s="175"/>
      <c r="D946" s="175"/>
      <c r="E946" s="175"/>
      <c r="F946" s="122"/>
      <c r="G946" s="122"/>
      <c r="H946" s="122"/>
      <c r="I946" s="122"/>
      <c r="J946" s="173"/>
      <c r="K946" s="181"/>
      <c r="L946" s="181"/>
      <c r="M946" s="181"/>
      <c r="N946" s="181"/>
      <c r="O946" s="181"/>
      <c r="P946" s="181"/>
      <c r="Q946" s="181"/>
      <c r="R946" s="181"/>
      <c r="S946" s="181"/>
      <c r="T946" s="181"/>
      <c r="U946" s="181"/>
      <c r="V946" s="181"/>
      <c r="W946" s="181"/>
      <c r="X946" s="181"/>
      <c r="Y946" s="181"/>
    </row>
    <row r="947" spans="1:25" ht="15.75" hidden="1" customHeight="1" x14ac:dyDescent="0.2">
      <c r="A947" s="181"/>
      <c r="B947" s="174"/>
      <c r="C947" s="175"/>
      <c r="D947" s="175"/>
      <c r="E947" s="175"/>
      <c r="F947" s="122"/>
      <c r="G947" s="122"/>
      <c r="H947" s="122"/>
      <c r="I947" s="122"/>
      <c r="J947" s="173"/>
      <c r="K947" s="181"/>
      <c r="L947" s="181"/>
      <c r="M947" s="181"/>
      <c r="N947" s="181"/>
      <c r="O947" s="181"/>
      <c r="P947" s="181"/>
      <c r="Q947" s="181"/>
      <c r="R947" s="181"/>
      <c r="S947" s="181"/>
      <c r="T947" s="181"/>
      <c r="U947" s="181"/>
      <c r="V947" s="181"/>
      <c r="W947" s="181"/>
      <c r="X947" s="181"/>
      <c r="Y947" s="181"/>
    </row>
    <row r="948" spans="1:25" ht="15.75" hidden="1" customHeight="1" x14ac:dyDescent="0.2">
      <c r="A948" s="181"/>
      <c r="B948" s="174"/>
      <c r="C948" s="175"/>
      <c r="D948" s="175"/>
      <c r="E948" s="175"/>
      <c r="F948" s="122"/>
      <c r="G948" s="122"/>
      <c r="H948" s="122"/>
      <c r="I948" s="122"/>
      <c r="J948" s="173"/>
      <c r="K948" s="181"/>
      <c r="L948" s="181"/>
      <c r="M948" s="181"/>
      <c r="N948" s="181"/>
      <c r="O948" s="181"/>
      <c r="P948" s="181"/>
      <c r="Q948" s="181"/>
      <c r="R948" s="181"/>
      <c r="S948" s="181"/>
      <c r="T948" s="181"/>
      <c r="U948" s="181"/>
      <c r="V948" s="181"/>
      <c r="W948" s="181"/>
      <c r="X948" s="181"/>
      <c r="Y948" s="181"/>
    </row>
    <row r="949" spans="1:25" ht="15.75" hidden="1" customHeight="1" x14ac:dyDescent="0.2">
      <c r="A949" s="181"/>
      <c r="B949" s="174"/>
      <c r="C949" s="175"/>
      <c r="D949" s="175"/>
      <c r="E949" s="175"/>
      <c r="F949" s="122"/>
      <c r="G949" s="122"/>
      <c r="H949" s="122"/>
      <c r="I949" s="122"/>
      <c r="J949" s="173"/>
      <c r="K949" s="181"/>
      <c r="L949" s="181"/>
      <c r="M949" s="181"/>
      <c r="N949" s="181"/>
      <c r="O949" s="181"/>
      <c r="P949" s="181"/>
      <c r="Q949" s="181"/>
      <c r="R949" s="181"/>
      <c r="S949" s="181"/>
      <c r="T949" s="181"/>
      <c r="U949" s="181"/>
      <c r="V949" s="181"/>
      <c r="W949" s="181"/>
      <c r="X949" s="181"/>
      <c r="Y949" s="181"/>
    </row>
    <row r="950" spans="1:25" ht="15.75" hidden="1" customHeight="1" x14ac:dyDescent="0.2">
      <c r="A950" s="181"/>
      <c r="B950" s="174"/>
      <c r="C950" s="175"/>
      <c r="D950" s="175"/>
      <c r="E950" s="175"/>
      <c r="F950" s="122"/>
      <c r="G950" s="122"/>
      <c r="H950" s="122"/>
      <c r="I950" s="122"/>
      <c r="J950" s="173"/>
      <c r="K950" s="181"/>
      <c r="L950" s="181"/>
      <c r="M950" s="181"/>
      <c r="N950" s="181"/>
      <c r="O950" s="181"/>
      <c r="P950" s="181"/>
      <c r="Q950" s="181"/>
      <c r="R950" s="181"/>
      <c r="S950" s="181"/>
      <c r="T950" s="181"/>
      <c r="U950" s="181"/>
      <c r="V950" s="181"/>
      <c r="W950" s="181"/>
      <c r="X950" s="181"/>
      <c r="Y950" s="181"/>
    </row>
    <row r="951" spans="1:25" ht="15.75" hidden="1" customHeight="1" x14ac:dyDescent="0.2">
      <c r="A951" s="181"/>
      <c r="B951" s="174"/>
      <c r="C951" s="175"/>
      <c r="D951" s="175"/>
      <c r="E951" s="175"/>
      <c r="F951" s="122"/>
      <c r="G951" s="122"/>
      <c r="H951" s="122"/>
      <c r="I951" s="122"/>
      <c r="J951" s="173"/>
      <c r="K951" s="181"/>
      <c r="L951" s="181"/>
      <c r="M951" s="181"/>
      <c r="N951" s="181"/>
      <c r="O951" s="181"/>
      <c r="P951" s="181"/>
      <c r="Q951" s="181"/>
      <c r="R951" s="181"/>
      <c r="S951" s="181"/>
      <c r="T951" s="181"/>
      <c r="U951" s="181"/>
      <c r="V951" s="181"/>
      <c r="W951" s="181"/>
      <c r="X951" s="181"/>
      <c r="Y951" s="181"/>
    </row>
    <row r="952" spans="1:25" ht="15.75" hidden="1" customHeight="1" x14ac:dyDescent="0.2">
      <c r="A952" s="181"/>
      <c r="B952" s="174"/>
      <c r="C952" s="175"/>
      <c r="D952" s="175"/>
      <c r="E952" s="175"/>
      <c r="F952" s="122"/>
      <c r="G952" s="122"/>
      <c r="H952" s="122"/>
      <c r="I952" s="122"/>
      <c r="J952" s="173"/>
      <c r="K952" s="181"/>
      <c r="L952" s="181"/>
      <c r="M952" s="181"/>
      <c r="N952" s="181"/>
      <c r="O952" s="181"/>
      <c r="P952" s="181"/>
      <c r="Q952" s="181"/>
      <c r="R952" s="181"/>
      <c r="S952" s="181"/>
      <c r="T952" s="181"/>
      <c r="U952" s="181"/>
      <c r="V952" s="181"/>
      <c r="W952" s="181"/>
      <c r="X952" s="181"/>
      <c r="Y952" s="181"/>
    </row>
    <row r="953" spans="1:25" ht="15.75" hidden="1" customHeight="1" x14ac:dyDescent="0.2">
      <c r="A953" s="181"/>
      <c r="B953" s="174"/>
      <c r="C953" s="175"/>
      <c r="D953" s="175"/>
      <c r="E953" s="175"/>
      <c r="F953" s="122"/>
      <c r="G953" s="122"/>
      <c r="H953" s="122"/>
      <c r="I953" s="122"/>
      <c r="J953" s="173"/>
      <c r="K953" s="181"/>
      <c r="L953" s="181"/>
      <c r="M953" s="181"/>
      <c r="N953" s="181"/>
      <c r="O953" s="181"/>
      <c r="P953" s="181"/>
      <c r="Q953" s="181"/>
      <c r="R953" s="181"/>
      <c r="S953" s="181"/>
      <c r="T953" s="181"/>
      <c r="U953" s="181"/>
      <c r="V953" s="181"/>
      <c r="W953" s="181"/>
      <c r="X953" s="181"/>
      <c r="Y953" s="181"/>
    </row>
    <row r="954" spans="1:25" ht="15.75" hidden="1" customHeight="1" x14ac:dyDescent="0.2">
      <c r="A954" s="181"/>
      <c r="B954" s="174"/>
      <c r="C954" s="175"/>
      <c r="D954" s="175"/>
      <c r="E954" s="175"/>
      <c r="F954" s="122"/>
      <c r="G954" s="122"/>
      <c r="H954" s="122"/>
      <c r="I954" s="122"/>
      <c r="J954" s="173"/>
      <c r="K954" s="181"/>
      <c r="L954" s="181"/>
      <c r="M954" s="181"/>
      <c r="N954" s="181"/>
      <c r="O954" s="181"/>
      <c r="P954" s="181"/>
      <c r="Q954" s="181"/>
      <c r="R954" s="181"/>
      <c r="S954" s="181"/>
      <c r="T954" s="181"/>
      <c r="U954" s="181"/>
      <c r="V954" s="181"/>
      <c r="W954" s="181"/>
      <c r="X954" s="181"/>
      <c r="Y954" s="181"/>
    </row>
    <row r="955" spans="1:25" ht="15.75" hidden="1" customHeight="1" x14ac:dyDescent="0.2">
      <c r="A955" s="181"/>
      <c r="B955" s="174"/>
      <c r="C955" s="175"/>
      <c r="D955" s="175"/>
      <c r="E955" s="175"/>
      <c r="F955" s="122"/>
      <c r="G955" s="122"/>
      <c r="H955" s="122"/>
      <c r="I955" s="122"/>
      <c r="J955" s="173"/>
      <c r="K955" s="181"/>
      <c r="L955" s="181"/>
      <c r="M955" s="181"/>
      <c r="N955" s="181"/>
      <c r="O955" s="181"/>
      <c r="P955" s="181"/>
      <c r="Q955" s="181"/>
      <c r="R955" s="181"/>
      <c r="S955" s="181"/>
      <c r="T955" s="181"/>
      <c r="U955" s="181"/>
      <c r="V955" s="181"/>
      <c r="W955" s="181"/>
      <c r="X955" s="181"/>
      <c r="Y955" s="181"/>
    </row>
    <row r="956" spans="1:25" ht="15.75" hidden="1" customHeight="1" x14ac:dyDescent="0.2">
      <c r="A956" s="181"/>
      <c r="B956" s="174"/>
      <c r="C956" s="175"/>
      <c r="D956" s="175"/>
      <c r="E956" s="175"/>
      <c r="F956" s="122"/>
      <c r="G956" s="122"/>
      <c r="H956" s="122"/>
      <c r="I956" s="122"/>
      <c r="J956" s="173"/>
      <c r="K956" s="181"/>
      <c r="L956" s="181"/>
      <c r="M956" s="181"/>
      <c r="N956" s="181"/>
      <c r="O956" s="181"/>
      <c r="P956" s="181"/>
      <c r="Q956" s="181"/>
      <c r="R956" s="181"/>
      <c r="S956" s="181"/>
      <c r="T956" s="181"/>
      <c r="U956" s="181"/>
      <c r="V956" s="181"/>
      <c r="W956" s="181"/>
      <c r="X956" s="181"/>
      <c r="Y956" s="181"/>
    </row>
    <row r="957" spans="1:25" ht="15.75" hidden="1" customHeight="1" x14ac:dyDescent="0.2">
      <c r="A957" s="181"/>
      <c r="B957" s="174"/>
      <c r="C957" s="175"/>
      <c r="D957" s="175"/>
      <c r="E957" s="175"/>
      <c r="F957" s="122"/>
      <c r="G957" s="122"/>
      <c r="H957" s="122"/>
      <c r="I957" s="122"/>
      <c r="J957" s="173"/>
      <c r="K957" s="181"/>
      <c r="L957" s="181"/>
      <c r="M957" s="181"/>
      <c r="N957" s="181"/>
      <c r="O957" s="181"/>
      <c r="P957" s="181"/>
      <c r="Q957" s="181"/>
      <c r="R957" s="181"/>
      <c r="S957" s="181"/>
      <c r="T957" s="181"/>
      <c r="U957" s="181"/>
      <c r="V957" s="181"/>
      <c r="W957" s="181"/>
      <c r="X957" s="181"/>
      <c r="Y957" s="181"/>
    </row>
    <row r="958" spans="1:25" ht="15.75" hidden="1" customHeight="1" x14ac:dyDescent="0.2">
      <c r="A958" s="181"/>
      <c r="B958" s="174"/>
      <c r="C958" s="175"/>
      <c r="D958" s="175"/>
      <c r="E958" s="175"/>
      <c r="F958" s="122"/>
      <c r="G958" s="122"/>
      <c r="H958" s="122"/>
      <c r="I958" s="122"/>
      <c r="J958" s="173"/>
      <c r="K958" s="181"/>
      <c r="L958" s="181"/>
      <c r="M958" s="181"/>
      <c r="N958" s="181"/>
      <c r="O958" s="181"/>
      <c r="P958" s="181"/>
      <c r="Q958" s="181"/>
      <c r="R958" s="181"/>
      <c r="S958" s="181"/>
      <c r="T958" s="181"/>
      <c r="U958" s="181"/>
      <c r="V958" s="181"/>
      <c r="W958" s="181"/>
      <c r="X958" s="181"/>
      <c r="Y958" s="181"/>
    </row>
    <row r="959" spans="1:25" ht="15.75" hidden="1" customHeight="1" x14ac:dyDescent="0.2">
      <c r="A959" s="181"/>
      <c r="B959" s="174"/>
      <c r="C959" s="175"/>
      <c r="D959" s="175"/>
      <c r="E959" s="175"/>
      <c r="F959" s="122"/>
      <c r="G959" s="122"/>
      <c r="H959" s="122"/>
      <c r="I959" s="122"/>
      <c r="J959" s="173"/>
      <c r="K959" s="181"/>
      <c r="L959" s="181"/>
      <c r="M959" s="181"/>
      <c r="N959" s="181"/>
      <c r="O959" s="181"/>
      <c r="P959" s="181"/>
      <c r="Q959" s="181"/>
      <c r="R959" s="181"/>
      <c r="S959" s="181"/>
      <c r="T959" s="181"/>
      <c r="U959" s="181"/>
      <c r="V959" s="181"/>
      <c r="W959" s="181"/>
      <c r="X959" s="181"/>
      <c r="Y959" s="181"/>
    </row>
    <row r="960" spans="1:25" ht="15.75" hidden="1" customHeight="1" x14ac:dyDescent="0.2">
      <c r="A960" s="181"/>
      <c r="B960" s="174"/>
      <c r="C960" s="175"/>
      <c r="D960" s="175"/>
      <c r="E960" s="175"/>
      <c r="F960" s="122"/>
      <c r="G960" s="122"/>
      <c r="H960" s="122"/>
      <c r="I960" s="122"/>
      <c r="J960" s="173"/>
      <c r="K960" s="181"/>
      <c r="L960" s="181"/>
      <c r="M960" s="181"/>
      <c r="N960" s="181"/>
      <c r="O960" s="181"/>
      <c r="P960" s="181"/>
      <c r="Q960" s="181"/>
      <c r="R960" s="181"/>
      <c r="S960" s="181"/>
      <c r="T960" s="181"/>
      <c r="U960" s="181"/>
      <c r="V960" s="181"/>
      <c r="W960" s="181"/>
      <c r="X960" s="181"/>
      <c r="Y960" s="181"/>
    </row>
    <row r="961" spans="1:25" ht="15.75" hidden="1" customHeight="1" x14ac:dyDescent="0.2">
      <c r="A961" s="181"/>
      <c r="B961" s="174"/>
      <c r="C961" s="175"/>
      <c r="D961" s="175"/>
      <c r="E961" s="175"/>
      <c r="F961" s="122"/>
      <c r="G961" s="122"/>
      <c r="H961" s="122"/>
      <c r="I961" s="122"/>
      <c r="J961" s="173"/>
      <c r="K961" s="181"/>
      <c r="L961" s="181"/>
      <c r="M961" s="181"/>
      <c r="N961" s="181"/>
      <c r="O961" s="181"/>
      <c r="P961" s="181"/>
      <c r="Q961" s="181"/>
      <c r="R961" s="181"/>
      <c r="S961" s="181"/>
      <c r="T961" s="181"/>
      <c r="U961" s="181"/>
      <c r="V961" s="181"/>
      <c r="W961" s="181"/>
      <c r="X961" s="181"/>
      <c r="Y961" s="181"/>
    </row>
    <row r="962" spans="1:25" ht="15.75" hidden="1" customHeight="1" x14ac:dyDescent="0.2">
      <c r="A962" s="181"/>
      <c r="B962" s="174"/>
      <c r="C962" s="175"/>
      <c r="D962" s="175"/>
      <c r="E962" s="175"/>
      <c r="F962" s="122"/>
      <c r="G962" s="122"/>
      <c r="H962" s="122"/>
      <c r="I962" s="122"/>
      <c r="J962" s="173"/>
      <c r="K962" s="181"/>
      <c r="L962" s="181"/>
      <c r="M962" s="181"/>
      <c r="N962" s="181"/>
      <c r="O962" s="181"/>
      <c r="P962" s="181"/>
      <c r="Q962" s="181"/>
      <c r="R962" s="181"/>
      <c r="S962" s="181"/>
      <c r="T962" s="181"/>
      <c r="U962" s="181"/>
      <c r="V962" s="181"/>
      <c r="W962" s="181"/>
      <c r="X962" s="181"/>
      <c r="Y962" s="181"/>
    </row>
    <row r="963" spans="1:25" ht="15.75" hidden="1" customHeight="1" x14ac:dyDescent="0.2">
      <c r="A963" s="181"/>
      <c r="B963" s="174"/>
      <c r="C963" s="175"/>
      <c r="D963" s="175"/>
      <c r="E963" s="175"/>
      <c r="F963" s="122"/>
      <c r="G963" s="122"/>
      <c r="H963" s="122"/>
      <c r="I963" s="122"/>
      <c r="J963" s="173"/>
      <c r="K963" s="181"/>
      <c r="L963" s="181"/>
      <c r="M963" s="181"/>
      <c r="N963" s="181"/>
      <c r="O963" s="181"/>
      <c r="P963" s="181"/>
      <c r="Q963" s="181"/>
      <c r="R963" s="181"/>
      <c r="S963" s="181"/>
      <c r="T963" s="181"/>
      <c r="U963" s="181"/>
      <c r="V963" s="181"/>
      <c r="W963" s="181"/>
      <c r="X963" s="181"/>
      <c r="Y963" s="181"/>
    </row>
    <row r="964" spans="1:25" ht="15.75" hidden="1" customHeight="1" x14ac:dyDescent="0.2">
      <c r="A964" s="181"/>
      <c r="B964" s="174"/>
      <c r="C964" s="175"/>
      <c r="D964" s="175"/>
      <c r="E964" s="175"/>
      <c r="F964" s="122"/>
      <c r="G964" s="122"/>
      <c r="H964" s="122"/>
      <c r="I964" s="122"/>
      <c r="J964" s="173"/>
      <c r="K964" s="181"/>
      <c r="L964" s="181"/>
      <c r="M964" s="181"/>
      <c r="N964" s="181"/>
      <c r="O964" s="181"/>
      <c r="P964" s="181"/>
      <c r="Q964" s="181"/>
      <c r="R964" s="181"/>
      <c r="S964" s="181"/>
      <c r="T964" s="181"/>
      <c r="U964" s="181"/>
      <c r="V964" s="181"/>
      <c r="W964" s="181"/>
      <c r="X964" s="181"/>
      <c r="Y964" s="181"/>
    </row>
    <row r="965" spans="1:25" ht="15.75" hidden="1" customHeight="1" x14ac:dyDescent="0.2">
      <c r="A965" s="181"/>
      <c r="B965" s="174"/>
      <c r="C965" s="175"/>
      <c r="D965" s="175"/>
      <c r="E965" s="175"/>
      <c r="F965" s="122"/>
      <c r="G965" s="122"/>
      <c r="H965" s="122"/>
      <c r="I965" s="122"/>
      <c r="J965" s="173"/>
      <c r="K965" s="181"/>
      <c r="L965" s="181"/>
      <c r="M965" s="181"/>
      <c r="N965" s="181"/>
      <c r="O965" s="181"/>
      <c r="P965" s="181"/>
      <c r="Q965" s="181"/>
      <c r="R965" s="181"/>
      <c r="S965" s="181"/>
      <c r="T965" s="181"/>
      <c r="U965" s="181"/>
      <c r="V965" s="181"/>
      <c r="W965" s="181"/>
      <c r="X965" s="181"/>
      <c r="Y965" s="181"/>
    </row>
    <row r="966" spans="1:25" ht="15.75" hidden="1" customHeight="1" x14ac:dyDescent="0.2">
      <c r="A966" s="181"/>
      <c r="B966" s="174"/>
      <c r="C966" s="175"/>
      <c r="D966" s="175"/>
      <c r="E966" s="175"/>
      <c r="F966" s="122"/>
      <c r="G966" s="122"/>
      <c r="H966" s="122"/>
      <c r="I966" s="122"/>
      <c r="J966" s="173"/>
      <c r="K966" s="181"/>
      <c r="L966" s="181"/>
      <c r="M966" s="181"/>
      <c r="N966" s="181"/>
      <c r="O966" s="181"/>
      <c r="P966" s="181"/>
      <c r="Q966" s="181"/>
      <c r="R966" s="181"/>
      <c r="S966" s="181"/>
      <c r="T966" s="181"/>
      <c r="U966" s="181"/>
      <c r="V966" s="181"/>
      <c r="W966" s="181"/>
      <c r="X966" s="181"/>
      <c r="Y966" s="181"/>
    </row>
    <row r="967" spans="1:25" ht="15.75" hidden="1" customHeight="1" x14ac:dyDescent="0.2">
      <c r="A967" s="181"/>
      <c r="B967" s="174"/>
      <c r="C967" s="175"/>
      <c r="D967" s="175"/>
      <c r="E967" s="175"/>
      <c r="F967" s="122"/>
      <c r="G967" s="122"/>
      <c r="H967" s="122"/>
      <c r="I967" s="122"/>
      <c r="J967" s="173"/>
      <c r="K967" s="181"/>
      <c r="L967" s="181"/>
      <c r="M967" s="181"/>
      <c r="N967" s="181"/>
      <c r="O967" s="181"/>
      <c r="P967" s="181"/>
      <c r="Q967" s="181"/>
      <c r="R967" s="181"/>
      <c r="S967" s="181"/>
      <c r="T967" s="181"/>
      <c r="U967" s="181"/>
      <c r="V967" s="181"/>
      <c r="W967" s="181"/>
      <c r="X967" s="181"/>
      <c r="Y967" s="181"/>
    </row>
    <row r="968" spans="1:25" ht="15.75" hidden="1" customHeight="1" x14ac:dyDescent="0.2">
      <c r="A968" s="181"/>
      <c r="B968" s="174"/>
      <c r="C968" s="175"/>
      <c r="D968" s="175"/>
      <c r="E968" s="175"/>
      <c r="F968" s="122"/>
      <c r="G968" s="122"/>
      <c r="H968" s="122"/>
      <c r="I968" s="122"/>
      <c r="J968" s="173"/>
      <c r="K968" s="181"/>
      <c r="L968" s="181"/>
      <c r="M968" s="181"/>
      <c r="N968" s="181"/>
      <c r="O968" s="181"/>
      <c r="P968" s="181"/>
      <c r="Q968" s="181"/>
      <c r="R968" s="181"/>
      <c r="S968" s="181"/>
      <c r="T968" s="181"/>
      <c r="U968" s="181"/>
      <c r="V968" s="181"/>
      <c r="W968" s="181"/>
      <c r="X968" s="181"/>
      <c r="Y968" s="181"/>
    </row>
    <row r="969" spans="1:25" ht="15.75" hidden="1" customHeight="1" x14ac:dyDescent="0.2">
      <c r="A969" s="181"/>
      <c r="B969" s="174"/>
      <c r="C969" s="175"/>
      <c r="D969" s="175"/>
      <c r="E969" s="175"/>
      <c r="F969" s="122"/>
      <c r="G969" s="122"/>
      <c r="H969" s="122"/>
      <c r="I969" s="122"/>
      <c r="J969" s="173"/>
      <c r="K969" s="181"/>
      <c r="L969" s="181"/>
      <c r="M969" s="181"/>
      <c r="N969" s="181"/>
      <c r="O969" s="181"/>
      <c r="P969" s="181"/>
      <c r="Q969" s="181"/>
      <c r="R969" s="181"/>
      <c r="S969" s="181"/>
      <c r="T969" s="181"/>
      <c r="U969" s="181"/>
      <c r="V969" s="181"/>
      <c r="W969" s="181"/>
      <c r="X969" s="181"/>
      <c r="Y969" s="181"/>
    </row>
    <row r="970" spans="1:25" ht="15.75" hidden="1" customHeight="1" x14ac:dyDescent="0.2">
      <c r="A970" s="181"/>
      <c r="B970" s="174"/>
      <c r="C970" s="175"/>
      <c r="D970" s="175"/>
      <c r="E970" s="175"/>
      <c r="F970" s="122"/>
      <c r="G970" s="122"/>
      <c r="H970" s="122"/>
      <c r="I970" s="122"/>
      <c r="J970" s="173"/>
      <c r="K970" s="181"/>
      <c r="L970" s="181"/>
      <c r="M970" s="181"/>
      <c r="N970" s="181"/>
      <c r="O970" s="181"/>
      <c r="P970" s="181"/>
      <c r="Q970" s="181"/>
      <c r="R970" s="181"/>
      <c r="S970" s="181"/>
      <c r="T970" s="181"/>
      <c r="U970" s="181"/>
      <c r="V970" s="181"/>
      <c r="W970" s="181"/>
      <c r="X970" s="181"/>
      <c r="Y970" s="181"/>
    </row>
    <row r="971" spans="1:25" ht="15.75" hidden="1" customHeight="1" x14ac:dyDescent="0.2">
      <c r="A971" s="181"/>
      <c r="B971" s="174"/>
      <c r="C971" s="175"/>
      <c r="D971" s="175"/>
      <c r="E971" s="175"/>
      <c r="F971" s="122"/>
      <c r="G971" s="122"/>
      <c r="H971" s="122"/>
      <c r="I971" s="122"/>
      <c r="J971" s="173"/>
      <c r="K971" s="181"/>
      <c r="L971" s="181"/>
      <c r="M971" s="181"/>
      <c r="N971" s="181"/>
      <c r="O971" s="181"/>
      <c r="P971" s="181"/>
      <c r="Q971" s="181"/>
      <c r="R971" s="181"/>
      <c r="S971" s="181"/>
      <c r="T971" s="181"/>
      <c r="U971" s="181"/>
      <c r="V971" s="181"/>
      <c r="W971" s="181"/>
      <c r="X971" s="181"/>
      <c r="Y971" s="181"/>
    </row>
    <row r="972" spans="1:25" ht="15.75" hidden="1" customHeight="1" x14ac:dyDescent="0.2">
      <c r="A972" s="181"/>
      <c r="B972" s="174"/>
      <c r="C972" s="175"/>
      <c r="D972" s="175"/>
      <c r="E972" s="175"/>
      <c r="F972" s="122"/>
      <c r="G972" s="122"/>
      <c r="H972" s="122"/>
      <c r="I972" s="122"/>
      <c r="J972" s="173"/>
      <c r="K972" s="181"/>
      <c r="L972" s="181"/>
      <c r="M972" s="181"/>
      <c r="N972" s="181"/>
      <c r="O972" s="181"/>
      <c r="P972" s="181"/>
      <c r="Q972" s="181"/>
      <c r="R972" s="181"/>
      <c r="S972" s="181"/>
      <c r="T972" s="181"/>
      <c r="U972" s="181"/>
      <c r="V972" s="181"/>
      <c r="W972" s="181"/>
      <c r="X972" s="181"/>
      <c r="Y972" s="181"/>
    </row>
    <row r="973" spans="1:25" ht="15.75" hidden="1" customHeight="1" x14ac:dyDescent="0.2">
      <c r="A973" s="181"/>
      <c r="B973" s="174"/>
      <c r="C973" s="175"/>
      <c r="D973" s="175"/>
      <c r="E973" s="175"/>
      <c r="F973" s="122"/>
      <c r="G973" s="122"/>
      <c r="H973" s="122"/>
      <c r="I973" s="122"/>
      <c r="J973" s="173"/>
      <c r="K973" s="181"/>
      <c r="L973" s="181"/>
      <c r="M973" s="181"/>
      <c r="N973" s="181"/>
      <c r="O973" s="181"/>
      <c r="P973" s="181"/>
      <c r="Q973" s="181"/>
      <c r="R973" s="181"/>
      <c r="S973" s="181"/>
      <c r="T973" s="181"/>
      <c r="U973" s="181"/>
      <c r="V973" s="181"/>
      <c r="W973" s="181"/>
      <c r="X973" s="181"/>
      <c r="Y973" s="181"/>
    </row>
    <row r="974" spans="1:25" ht="15.75" hidden="1" customHeight="1" x14ac:dyDescent="0.2">
      <c r="A974" s="181"/>
      <c r="B974" s="174"/>
      <c r="C974" s="175"/>
      <c r="D974" s="175"/>
      <c r="E974" s="175"/>
      <c r="F974" s="122"/>
      <c r="G974" s="122"/>
      <c r="H974" s="122"/>
      <c r="I974" s="122"/>
      <c r="J974" s="173"/>
      <c r="K974" s="181"/>
      <c r="L974" s="181"/>
      <c r="M974" s="181"/>
      <c r="N974" s="181"/>
      <c r="O974" s="181"/>
      <c r="P974" s="181"/>
      <c r="Q974" s="181"/>
      <c r="R974" s="181"/>
      <c r="S974" s="181"/>
      <c r="T974" s="181"/>
      <c r="U974" s="181"/>
      <c r="V974" s="181"/>
      <c r="W974" s="181"/>
      <c r="X974" s="181"/>
      <c r="Y974" s="181"/>
    </row>
    <row r="975" spans="1:25" ht="15.75" hidden="1" customHeight="1" x14ac:dyDescent="0.2">
      <c r="A975" s="181"/>
      <c r="B975" s="174"/>
      <c r="C975" s="175"/>
      <c r="D975" s="175"/>
      <c r="E975" s="175"/>
      <c r="F975" s="122"/>
      <c r="G975" s="122"/>
      <c r="H975" s="122"/>
      <c r="I975" s="122"/>
      <c r="J975" s="173"/>
      <c r="K975" s="181"/>
      <c r="L975" s="181"/>
      <c r="M975" s="181"/>
      <c r="N975" s="181"/>
      <c r="O975" s="181"/>
      <c r="P975" s="181"/>
      <c r="Q975" s="181"/>
      <c r="R975" s="181"/>
      <c r="S975" s="181"/>
      <c r="T975" s="181"/>
      <c r="U975" s="181"/>
      <c r="V975" s="181"/>
      <c r="W975" s="181"/>
      <c r="X975" s="181"/>
      <c r="Y975" s="181"/>
    </row>
    <row r="976" spans="1:25" ht="15.75" hidden="1" customHeight="1" x14ac:dyDescent="0.2">
      <c r="A976" s="181"/>
      <c r="B976" s="174"/>
      <c r="C976" s="175"/>
      <c r="D976" s="175"/>
      <c r="E976" s="175"/>
      <c r="F976" s="122"/>
      <c r="G976" s="122"/>
      <c r="H976" s="122"/>
      <c r="I976" s="122"/>
      <c r="J976" s="173"/>
      <c r="K976" s="181"/>
      <c r="L976" s="181"/>
      <c r="M976" s="181"/>
      <c r="N976" s="181"/>
      <c r="O976" s="181"/>
      <c r="P976" s="181"/>
      <c r="Q976" s="181"/>
      <c r="R976" s="181"/>
      <c r="S976" s="181"/>
      <c r="T976" s="181"/>
      <c r="U976" s="181"/>
      <c r="V976" s="181"/>
      <c r="W976" s="181"/>
      <c r="X976" s="181"/>
      <c r="Y976" s="181"/>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31496062992125984" right="0.23622047244094491" top="0.39370078740157483" bottom="0.39370078740157483" header="0" footer="0"/>
  <pageSetup scale="45" orientation="portrait"/>
  <headerFooter>
    <oddFooter>&amp;C&amp;P/&amp;R</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25</vt:i4>
      </vt:variant>
    </vt:vector>
  </HeadingPairs>
  <TitlesOfParts>
    <vt:vector size="43" baseType="lpstr">
      <vt:lpstr>PAI 2021 - V4</vt:lpstr>
      <vt:lpstr>Matriz de seguimiento</vt:lpstr>
      <vt:lpstr>LISTAS</vt:lpstr>
      <vt:lpstr>HV</vt:lpstr>
      <vt:lpstr>Resultados</vt:lpstr>
      <vt:lpstr>AN-01 - Plan MIPG (PFI)</vt:lpstr>
      <vt:lpstr>AN-02 - Plan de Capacitaciones</vt:lpstr>
      <vt:lpstr>AN-03 - Bienestar</vt:lpstr>
      <vt:lpstr>AN-04 - Plan SG-SST</vt:lpstr>
      <vt:lpstr>AN-05 - Plan Estratégico RR.HH</vt:lpstr>
      <vt:lpstr>AN-06 - PINAR</vt:lpstr>
      <vt:lpstr>AN-07-PETI</vt:lpstr>
      <vt:lpstr>AN-08-Plan SI</vt:lpstr>
      <vt:lpstr>AN-09-Plan Tratamiento RSI</vt:lpstr>
      <vt:lpstr>ODS</vt:lpstr>
      <vt:lpstr>PDD</vt:lpstr>
      <vt:lpstr>MIPG</vt:lpstr>
      <vt:lpstr>Matriz</vt:lpstr>
      <vt:lpstr>'Matriz de seguimiento'!Área_de_impresión</vt:lpstr>
      <vt:lpstr>Áreas</vt:lpstr>
      <vt:lpstr>Comunicaciones</vt:lpstr>
      <vt:lpstr>Contenidos_Ciudadanía</vt:lpstr>
      <vt:lpstr>Control_Interno</vt:lpstr>
      <vt:lpstr>Digital</vt:lpstr>
      <vt:lpstr>Gestión_Ambiental</vt:lpstr>
      <vt:lpstr>Gestión_Documental</vt:lpstr>
      <vt:lpstr>Matriz!Objetivos</vt:lpstr>
      <vt:lpstr>Objetivos</vt:lpstr>
      <vt:lpstr>Planeación</vt:lpstr>
      <vt:lpstr>Programación</vt:lpstr>
      <vt:lpstr>Proyectos_Estratégicos</vt:lpstr>
      <vt:lpstr>Secretaría_General</vt:lpstr>
      <vt:lpstr>Servicio_Ciudadano</vt:lpstr>
      <vt:lpstr>Servicios_Administrativos</vt:lpstr>
      <vt:lpstr>Sistemas</vt:lpstr>
      <vt:lpstr>Subdirección_Administrativa</vt:lpstr>
      <vt:lpstr>Subdirección_Financiera</vt:lpstr>
      <vt:lpstr>Talento_Humano</vt:lpstr>
      <vt:lpstr>Técnica</vt:lpstr>
      <vt:lpstr>Matriz!tipo</vt:lpstr>
      <vt:lpstr>tipo</vt:lpstr>
      <vt:lpstr>'AN-01 - Plan MIPG (PFI)'!Títulos_a_imprimir</vt:lpstr>
      <vt:lpstr>'Matriz de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García López</dc:creator>
  <cp:lastModifiedBy>John Fredy García López</cp:lastModifiedBy>
  <cp:lastPrinted>2022-01-31T19:49:54Z</cp:lastPrinted>
  <dcterms:created xsi:type="dcterms:W3CDTF">2021-01-28T21:32:03Z</dcterms:created>
  <dcterms:modified xsi:type="dcterms:W3CDTF">2022-01-31T19:50:18Z</dcterms:modified>
</cp:coreProperties>
</file>