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comments1.xml" ContentType="application/vnd.openxmlformats-officedocument.spreadsheetml.comments+xml"/>
  <Override PartName="/xl/ink/ink3.xml" ContentType="application/inkml+xml"/>
  <Override PartName="/xl/ink/ink4.xml" ContentType="application/inkml+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jofga\Documents\John F\2021\Plan de acción\"/>
    </mc:Choice>
  </mc:AlternateContent>
  <xr:revisionPtr revIDLastSave="0" documentId="13_ncr:1_{08EA8C81-3048-4C07-891F-090D9A94B6BC}" xr6:coauthVersionLast="47" xr6:coauthVersionMax="47" xr10:uidLastSave="{00000000-0000-0000-0000-000000000000}"/>
  <bookViews>
    <workbookView xWindow="-120" yWindow="-120" windowWidth="20730" windowHeight="11310" tabRatio="923" xr2:uid="{00000000-000D-0000-FFFF-FFFF00000000}"/>
  </bookViews>
  <sheets>
    <sheet name="Plan estratégico 2021-2024" sheetId="1" r:id="rId1"/>
    <sheet name="Matriz de seguimiento" sheetId="17" state="hidden" r:id="rId2"/>
    <sheet name="LISTAS" sheetId="19" state="hidden" r:id="rId3"/>
    <sheet name="HV" sheetId="21" state="hidden" r:id="rId4"/>
    <sheet name="Resultados" sheetId="20" state="hidden" r:id="rId5"/>
    <sheet name="Recomendación" sheetId="23" state="hidden" r:id="rId6"/>
    <sheet name="AN-01 - Plan MIPG (PFI)" sheetId="24" r:id="rId7"/>
    <sheet name="AN-02 - Plan de Capacitaciones" sheetId="3" r:id="rId8"/>
    <sheet name="AN-03 - Bienestar" sheetId="4" r:id="rId9"/>
    <sheet name="AN-04 - Plan SG-SST" sheetId="5" r:id="rId10"/>
    <sheet name="AN-05 - Plan Estratégico RR.HH" sheetId="6" r:id="rId11"/>
    <sheet name="AN-06 - PINAR" sheetId="8" r:id="rId12"/>
    <sheet name="AN-07-PETI" sheetId="14" r:id="rId13"/>
    <sheet name="AN-08-Plan SI" sheetId="15" r:id="rId14"/>
    <sheet name="AN-09-Plan Tratamiento RSI" sheetId="16" r:id="rId15"/>
    <sheet name="ODS" sheetId="11" state="hidden" r:id="rId16"/>
    <sheet name="PDD" sheetId="9" state="hidden" r:id="rId17"/>
    <sheet name="MIPG" sheetId="10" state="hidden" r:id="rId18"/>
    <sheet name="Matriz" sheetId="12" state="hidden" r:id="rId19"/>
  </sheets>
  <externalReferences>
    <externalReference r:id="rId20"/>
    <externalReference r:id="rId21"/>
  </externalReferences>
  <definedNames>
    <definedName name="_xlnm._FilterDatabase" localSheetId="6" hidden="1">'AN-01 - Plan MIPG (PFI)'!$A$10:$V$55</definedName>
    <definedName name="_xlnm._FilterDatabase" localSheetId="18" hidden="1">Matriz!$A$2:$H$43</definedName>
    <definedName name="_xlnm._FilterDatabase" localSheetId="1" hidden="1">'Matriz de seguimiento'!$A$9:$BH$57</definedName>
    <definedName name="_xlnm._FilterDatabase" localSheetId="16" hidden="1">PDD!$A$3:$C$38</definedName>
    <definedName name="_xlnm._FilterDatabase" localSheetId="0" hidden="1">'Plan estratégico 2021-2024'!$A$8:$AK$57</definedName>
    <definedName name="_xlnm.Print_Area" localSheetId="1">'Matriz de seguimiento'!$A$1:$BB$67</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6">#REF!</definedName>
    <definedName name="OBJ_PROCESO" localSheetId="12">#REF!</definedName>
    <definedName name="OBJ_PROCESO" localSheetId="13">#REF!</definedName>
    <definedName name="OBJ_PROCESO" localSheetId="14">#REF!</definedName>
    <definedName name="OBJ_PROCESO">#REF!</definedName>
    <definedName name="OBJET" localSheetId="6">#REF!</definedName>
    <definedName name="OBJET" localSheetId="12">#REF!</definedName>
    <definedName name="OBJET" localSheetId="13">#REF!</definedName>
    <definedName name="OBJET" localSheetId="14">#REF!</definedName>
    <definedName name="OBJET">#REF!</definedName>
    <definedName name="Objetivos" localSheetId="6">'[1]PAI 2021 - V1'!$E$60:$E$65</definedName>
    <definedName name="Objetivos" localSheetId="18">Matriz!$B$48:$B$53</definedName>
    <definedName name="Objetivos">'Plan estratégico 2021-2024'!$E$61:$E$66</definedName>
    <definedName name="Planeación">LISTAS!$C$3:$C$8</definedName>
    <definedName name="Programación">LISTAS!$H$3:$H$4</definedName>
    <definedName name="Proyectos_Estratégicos">LISTAS!$F$3:$F$5</definedName>
    <definedName name="resultados" localSheetId="6">#REF!</definedName>
    <definedName name="resultados" localSheetId="12">#REF!</definedName>
    <definedName name="resultados" localSheetId="13">#REF!</definedName>
    <definedName name="resultados" localSheetId="14">#REF!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6">'[1]PAI 2021 - V1'!$AF$6:$AF$8</definedName>
    <definedName name="tipo" localSheetId="18">Matriz!$H$1:$H$2</definedName>
    <definedName name="tipo">'Plan estratégico 2021-2024'!$AK$6:$AK$8</definedName>
    <definedName name="_xlnm.Print_Titles" localSheetId="6">'AN-01 - Plan MIPG (PFI)'!$7:$10</definedName>
    <definedName name="_xlnm.Print_Titles" localSheetId="1">'Matriz de seguimiento'!$1:$9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55" i="24" l="1"/>
  <c r="U55" i="24"/>
  <c r="T55" i="24"/>
  <c r="S55" i="24"/>
  <c r="R55" i="24"/>
  <c r="Q55" i="24"/>
  <c r="P55" i="24"/>
  <c r="O55" i="24"/>
  <c r="N55" i="24"/>
  <c r="M55" i="24"/>
  <c r="L55" i="24"/>
  <c r="K55" i="24"/>
  <c r="J55" i="24"/>
  <c r="U54" i="24"/>
  <c r="T54" i="24"/>
  <c r="S54" i="24"/>
  <c r="R54" i="24"/>
  <c r="Q54" i="24"/>
  <c r="P54" i="24"/>
  <c r="O54" i="24"/>
  <c r="N54" i="24"/>
  <c r="M54" i="24"/>
  <c r="L54" i="24"/>
  <c r="K54" i="24"/>
  <c r="J54" i="24"/>
  <c r="V54" i="24" s="1"/>
  <c r="U53" i="24"/>
  <c r="T53" i="24"/>
  <c r="S53" i="24"/>
  <c r="R53" i="24"/>
  <c r="Q53" i="24"/>
  <c r="P53" i="24"/>
  <c r="O53" i="24"/>
  <c r="N53" i="24"/>
  <c r="V53" i="24" s="1"/>
  <c r="M53" i="24"/>
  <c r="L53" i="24"/>
  <c r="K53" i="24"/>
  <c r="J53" i="24"/>
  <c r="U52" i="24"/>
  <c r="T52" i="24"/>
  <c r="S52" i="24"/>
  <c r="R52" i="24"/>
  <c r="Q52" i="24"/>
  <c r="P52" i="24"/>
  <c r="O52" i="24"/>
  <c r="N52" i="24"/>
  <c r="M52" i="24"/>
  <c r="L52" i="24"/>
  <c r="K52" i="24"/>
  <c r="V52" i="24" s="1"/>
  <c r="J52" i="24"/>
  <c r="U51" i="24"/>
  <c r="T51" i="24"/>
  <c r="S51" i="24"/>
  <c r="R51" i="24"/>
  <c r="Q51" i="24"/>
  <c r="P51" i="24"/>
  <c r="O51" i="24"/>
  <c r="N51" i="24"/>
  <c r="M51" i="24"/>
  <c r="L51" i="24"/>
  <c r="K51" i="24"/>
  <c r="J51" i="24"/>
  <c r="V51" i="24" s="1"/>
  <c r="U50" i="24"/>
  <c r="T50" i="24"/>
  <c r="S50" i="24"/>
  <c r="R50" i="24"/>
  <c r="Q50" i="24"/>
  <c r="P50" i="24"/>
  <c r="O50" i="24"/>
  <c r="N50" i="24"/>
  <c r="M50" i="24"/>
  <c r="V50" i="24" s="1"/>
  <c r="L50" i="24"/>
  <c r="K50" i="24"/>
  <c r="J50" i="24"/>
  <c r="U49" i="24"/>
  <c r="T49" i="24"/>
  <c r="S49" i="24"/>
  <c r="R49" i="24"/>
  <c r="Q49" i="24"/>
  <c r="P49" i="24"/>
  <c r="O49" i="24"/>
  <c r="N49" i="24"/>
  <c r="M49" i="24"/>
  <c r="L49" i="24"/>
  <c r="K49" i="24"/>
  <c r="J49" i="24"/>
  <c r="V49" i="24" s="1"/>
  <c r="I49" i="24"/>
  <c r="U48" i="24"/>
  <c r="T48" i="24"/>
  <c r="S48" i="24"/>
  <c r="R48" i="24"/>
  <c r="Q48" i="24"/>
  <c r="P48" i="24"/>
  <c r="O48" i="24"/>
  <c r="N48" i="24"/>
  <c r="M48" i="24"/>
  <c r="L48" i="24"/>
  <c r="K48" i="24"/>
  <c r="J48" i="24"/>
  <c r="V48" i="24" s="1"/>
  <c r="U47" i="24"/>
  <c r="T47" i="24"/>
  <c r="S47" i="24"/>
  <c r="R47" i="24"/>
  <c r="Q47" i="24"/>
  <c r="P47" i="24"/>
  <c r="O47" i="24"/>
  <c r="N47" i="24"/>
  <c r="M47" i="24"/>
  <c r="V47" i="24" s="1"/>
  <c r="L47" i="24"/>
  <c r="K47" i="24"/>
  <c r="J47" i="24"/>
  <c r="U46" i="24"/>
  <c r="T46" i="24"/>
  <c r="S46" i="24"/>
  <c r="R46" i="24"/>
  <c r="Q46" i="24"/>
  <c r="P46" i="24"/>
  <c r="O46" i="24"/>
  <c r="N46" i="24"/>
  <c r="M46" i="24"/>
  <c r="L46" i="24"/>
  <c r="K46" i="24"/>
  <c r="J46" i="24"/>
  <c r="V46" i="24" s="1"/>
  <c r="U45" i="24"/>
  <c r="T45" i="24"/>
  <c r="S45" i="24"/>
  <c r="R45" i="24"/>
  <c r="Q45" i="24"/>
  <c r="P45" i="24"/>
  <c r="O45" i="24"/>
  <c r="N45" i="24"/>
  <c r="M45" i="24"/>
  <c r="L45" i="24"/>
  <c r="K45" i="24"/>
  <c r="J45" i="24"/>
  <c r="V45" i="24" s="1"/>
  <c r="I45" i="24"/>
  <c r="U44" i="24"/>
  <c r="T44" i="24"/>
  <c r="S44" i="24"/>
  <c r="R44" i="24"/>
  <c r="Q44" i="24"/>
  <c r="P44" i="24"/>
  <c r="O44" i="24"/>
  <c r="N44" i="24"/>
  <c r="M44" i="24"/>
  <c r="V44" i="24" s="1"/>
  <c r="L44" i="24"/>
  <c r="K44" i="24"/>
  <c r="J44" i="24"/>
  <c r="U43" i="24"/>
  <c r="T43" i="24"/>
  <c r="S43" i="24"/>
  <c r="R43" i="24"/>
  <c r="Q43" i="24"/>
  <c r="P43" i="24"/>
  <c r="O43" i="24"/>
  <c r="N43" i="24"/>
  <c r="M43" i="24"/>
  <c r="L43" i="24"/>
  <c r="K43" i="24"/>
  <c r="J43" i="24"/>
  <c r="V43" i="24" s="1"/>
  <c r="U42" i="24"/>
  <c r="T42" i="24"/>
  <c r="S42" i="24"/>
  <c r="R42" i="24"/>
  <c r="Q42" i="24"/>
  <c r="P42" i="24"/>
  <c r="O42" i="24"/>
  <c r="N42" i="24"/>
  <c r="M42" i="24"/>
  <c r="L42" i="24"/>
  <c r="K42" i="24"/>
  <c r="J42" i="24"/>
  <c r="V42" i="24" s="1"/>
  <c r="U41" i="24"/>
  <c r="T41" i="24"/>
  <c r="S41" i="24"/>
  <c r="R41" i="24"/>
  <c r="Q41" i="24"/>
  <c r="P41" i="24"/>
  <c r="O41" i="24"/>
  <c r="N41" i="24"/>
  <c r="M41" i="24"/>
  <c r="L41" i="24"/>
  <c r="V41" i="24" s="1"/>
  <c r="K41" i="24"/>
  <c r="J41" i="24"/>
  <c r="U40" i="24"/>
  <c r="T40" i="24"/>
  <c r="S40" i="24"/>
  <c r="R40" i="24"/>
  <c r="Q40" i="24"/>
  <c r="P40" i="24"/>
  <c r="O40" i="24"/>
  <c r="N40" i="24"/>
  <c r="M40" i="24"/>
  <c r="L40" i="24"/>
  <c r="K40" i="24"/>
  <c r="J40" i="24"/>
  <c r="V40" i="24" s="1"/>
  <c r="I40" i="24"/>
  <c r="U39" i="24"/>
  <c r="T39" i="24"/>
  <c r="S39" i="24"/>
  <c r="R39" i="24"/>
  <c r="Q39" i="24"/>
  <c r="P39" i="24"/>
  <c r="O39" i="24"/>
  <c r="N39" i="24"/>
  <c r="M39" i="24"/>
  <c r="L39" i="24"/>
  <c r="K39" i="24"/>
  <c r="J39" i="24"/>
  <c r="V39" i="24" s="1"/>
  <c r="U38" i="24"/>
  <c r="T38" i="24"/>
  <c r="S38" i="24"/>
  <c r="R38" i="24"/>
  <c r="Q38" i="24"/>
  <c r="P38" i="24"/>
  <c r="O38" i="24"/>
  <c r="N38" i="24"/>
  <c r="M38" i="24"/>
  <c r="L38" i="24"/>
  <c r="V38" i="24" s="1"/>
  <c r="K38" i="24"/>
  <c r="J38" i="24"/>
  <c r="U37" i="24"/>
  <c r="T37" i="24"/>
  <c r="S37" i="24"/>
  <c r="R37" i="24"/>
  <c r="Q37" i="24"/>
  <c r="P37" i="24"/>
  <c r="O37" i="24"/>
  <c r="N37" i="24"/>
  <c r="M37" i="24"/>
  <c r="L37" i="24"/>
  <c r="K37" i="24"/>
  <c r="J37" i="24"/>
  <c r="V37" i="24" s="1"/>
  <c r="I37" i="24"/>
  <c r="U36" i="24"/>
  <c r="T36" i="24"/>
  <c r="S36" i="24"/>
  <c r="R36" i="24"/>
  <c r="Q36" i="24"/>
  <c r="P36" i="24"/>
  <c r="O36" i="24"/>
  <c r="N36" i="24"/>
  <c r="M36" i="24"/>
  <c r="L36" i="24"/>
  <c r="K36" i="24"/>
  <c r="J36" i="24"/>
  <c r="V36" i="24" s="1"/>
  <c r="U35" i="24"/>
  <c r="T35" i="24"/>
  <c r="S35" i="24"/>
  <c r="R35" i="24"/>
  <c r="Q35" i="24"/>
  <c r="P35" i="24"/>
  <c r="O35" i="24"/>
  <c r="N35" i="24"/>
  <c r="M35" i="24"/>
  <c r="L35" i="24"/>
  <c r="V35" i="24" s="1"/>
  <c r="K35" i="24"/>
  <c r="J35" i="24"/>
  <c r="U34" i="24"/>
  <c r="T34" i="24"/>
  <c r="S34" i="24"/>
  <c r="R34" i="24"/>
  <c r="Q34" i="24"/>
  <c r="P34" i="24"/>
  <c r="O34" i="24"/>
  <c r="N34" i="24"/>
  <c r="M34" i="24"/>
  <c r="L34" i="24"/>
  <c r="K34" i="24"/>
  <c r="J34" i="24"/>
  <c r="V34" i="24" s="1"/>
  <c r="U33" i="24"/>
  <c r="T33" i="24"/>
  <c r="S33" i="24"/>
  <c r="R33" i="24"/>
  <c r="Q33" i="24"/>
  <c r="P33" i="24"/>
  <c r="O33" i="24"/>
  <c r="N33" i="24"/>
  <c r="V33" i="24" s="1"/>
  <c r="M33" i="24"/>
  <c r="L33" i="24"/>
  <c r="K33" i="24"/>
  <c r="J33" i="24"/>
  <c r="U32" i="24"/>
  <c r="T32" i="24"/>
  <c r="S32" i="24"/>
  <c r="R32" i="24"/>
  <c r="Q32" i="24"/>
  <c r="P32" i="24"/>
  <c r="O32" i="24"/>
  <c r="N32" i="24"/>
  <c r="M32" i="24"/>
  <c r="L32" i="24"/>
  <c r="K32" i="24"/>
  <c r="V32" i="24" s="1"/>
  <c r="J32" i="24"/>
  <c r="U31" i="24"/>
  <c r="T31" i="24"/>
  <c r="S31" i="24"/>
  <c r="R31" i="24"/>
  <c r="Q31" i="24"/>
  <c r="P31" i="24"/>
  <c r="O31" i="24"/>
  <c r="N31" i="24"/>
  <c r="M31" i="24"/>
  <c r="L31" i="24"/>
  <c r="K31" i="24"/>
  <c r="J31" i="24"/>
  <c r="V31" i="24" s="1"/>
  <c r="U30" i="24"/>
  <c r="T30" i="24"/>
  <c r="S30" i="24"/>
  <c r="R30" i="24"/>
  <c r="Q30" i="24"/>
  <c r="P30" i="24"/>
  <c r="O30" i="24"/>
  <c r="N30" i="24"/>
  <c r="M30" i="24"/>
  <c r="V30" i="24" s="1"/>
  <c r="L30" i="24"/>
  <c r="K30" i="24"/>
  <c r="J30" i="24"/>
  <c r="U29" i="24"/>
  <c r="T29" i="24"/>
  <c r="S29" i="24"/>
  <c r="R29" i="24"/>
  <c r="Q29" i="24"/>
  <c r="P29" i="24"/>
  <c r="O29" i="24"/>
  <c r="N29" i="24"/>
  <c r="M29" i="24"/>
  <c r="L29" i="24"/>
  <c r="K29" i="24"/>
  <c r="J29" i="24"/>
  <c r="V29" i="24" s="1"/>
  <c r="U28" i="24"/>
  <c r="T28" i="24"/>
  <c r="S28" i="24"/>
  <c r="R28" i="24"/>
  <c r="Q28" i="24"/>
  <c r="P28" i="24"/>
  <c r="O28" i="24"/>
  <c r="N28" i="24"/>
  <c r="M28" i="24"/>
  <c r="L28" i="24"/>
  <c r="K28" i="24"/>
  <c r="J28" i="24"/>
  <c r="V28" i="24" s="1"/>
  <c r="U27" i="24"/>
  <c r="T27" i="24"/>
  <c r="S27" i="24"/>
  <c r="R27" i="24"/>
  <c r="Q27" i="24"/>
  <c r="P27" i="24"/>
  <c r="O27" i="24"/>
  <c r="N27" i="24"/>
  <c r="M27" i="24"/>
  <c r="L27" i="24"/>
  <c r="V27" i="24" s="1"/>
  <c r="K27" i="24"/>
  <c r="J27" i="24"/>
  <c r="U26" i="24"/>
  <c r="T26" i="24"/>
  <c r="S26" i="24"/>
  <c r="R26" i="24"/>
  <c r="Q26" i="24"/>
  <c r="P26" i="24"/>
  <c r="O26" i="24"/>
  <c r="N26" i="24"/>
  <c r="M26" i="24"/>
  <c r="L26" i="24"/>
  <c r="K26" i="24"/>
  <c r="J26" i="24"/>
  <c r="V26" i="24" s="1"/>
  <c r="I26" i="24"/>
  <c r="U25" i="24"/>
  <c r="T25" i="24"/>
  <c r="S25" i="24"/>
  <c r="R25" i="24"/>
  <c r="Q25" i="24"/>
  <c r="P25" i="24"/>
  <c r="O25" i="24"/>
  <c r="N25" i="24"/>
  <c r="M25" i="24"/>
  <c r="L25" i="24"/>
  <c r="K25" i="24"/>
  <c r="J25" i="24"/>
  <c r="V25" i="24" s="1"/>
  <c r="U24" i="24"/>
  <c r="T24" i="24"/>
  <c r="S24" i="24"/>
  <c r="R24" i="24"/>
  <c r="Q24" i="24"/>
  <c r="P24" i="24"/>
  <c r="O24" i="24"/>
  <c r="N24" i="24"/>
  <c r="M24" i="24"/>
  <c r="L24" i="24"/>
  <c r="V24" i="24" s="1"/>
  <c r="K24" i="24"/>
  <c r="J24" i="24"/>
  <c r="U23" i="24"/>
  <c r="T23" i="24"/>
  <c r="S23" i="24"/>
  <c r="R23" i="24"/>
  <c r="Q23" i="24"/>
  <c r="P23" i="24"/>
  <c r="O23" i="24"/>
  <c r="N23" i="24"/>
  <c r="M23" i="24"/>
  <c r="L23" i="24"/>
  <c r="K23" i="24"/>
  <c r="J23" i="24"/>
  <c r="V23" i="24" s="1"/>
  <c r="U22" i="24"/>
  <c r="T22" i="24"/>
  <c r="S22" i="24"/>
  <c r="R22" i="24"/>
  <c r="Q22" i="24"/>
  <c r="P22" i="24"/>
  <c r="O22" i="24"/>
  <c r="N22" i="24"/>
  <c r="V22" i="24" s="1"/>
  <c r="M22" i="24"/>
  <c r="L22" i="24"/>
  <c r="K22" i="24"/>
  <c r="J22" i="24"/>
  <c r="U21" i="24"/>
  <c r="T21" i="24"/>
  <c r="S21" i="24"/>
  <c r="R21" i="24"/>
  <c r="Q21" i="24"/>
  <c r="P21" i="24"/>
  <c r="O21" i="24"/>
  <c r="N21" i="24"/>
  <c r="M21" i="24"/>
  <c r="L21" i="24"/>
  <c r="K21" i="24"/>
  <c r="V21" i="24" s="1"/>
  <c r="J21" i="24"/>
  <c r="U20" i="24"/>
  <c r="T20" i="24"/>
  <c r="S20" i="24"/>
  <c r="R20" i="24"/>
  <c r="Q20" i="24"/>
  <c r="P20" i="24"/>
  <c r="O20" i="24"/>
  <c r="N20" i="24"/>
  <c r="M20" i="24"/>
  <c r="L20" i="24"/>
  <c r="K20" i="24"/>
  <c r="J20" i="24"/>
  <c r="V20" i="24" s="1"/>
  <c r="I20" i="24"/>
  <c r="I10" i="24" s="1"/>
  <c r="U19" i="24"/>
  <c r="T19" i="24"/>
  <c r="S19" i="24"/>
  <c r="R19" i="24"/>
  <c r="Q19" i="24"/>
  <c r="P19" i="24"/>
  <c r="O19" i="24"/>
  <c r="N19" i="24"/>
  <c r="V19" i="24" s="1"/>
  <c r="M19" i="24"/>
  <c r="L19" i="24"/>
  <c r="K19" i="24"/>
  <c r="J19" i="24"/>
  <c r="U18" i="24"/>
  <c r="T18" i="24"/>
  <c r="S18" i="24"/>
  <c r="R18" i="24"/>
  <c r="Q18" i="24"/>
  <c r="P18" i="24"/>
  <c r="O18" i="24"/>
  <c r="N18" i="24"/>
  <c r="M18" i="24"/>
  <c r="L18" i="24"/>
  <c r="K18" i="24"/>
  <c r="V18" i="24" s="1"/>
  <c r="J18" i="24"/>
  <c r="U17" i="24"/>
  <c r="T17" i="24"/>
  <c r="S17" i="24"/>
  <c r="R17" i="24"/>
  <c r="Q17" i="24"/>
  <c r="P17" i="24"/>
  <c r="O17" i="24"/>
  <c r="N17" i="24"/>
  <c r="M17" i="24"/>
  <c r="L17" i="24"/>
  <c r="K17" i="24"/>
  <c r="J17" i="24"/>
  <c r="V17" i="24" s="1"/>
  <c r="U16" i="24"/>
  <c r="T16" i="24"/>
  <c r="S16" i="24"/>
  <c r="R16" i="24"/>
  <c r="Q16" i="24"/>
  <c r="P16" i="24"/>
  <c r="O16" i="24"/>
  <c r="N16" i="24"/>
  <c r="M16" i="24"/>
  <c r="V16" i="24" s="1"/>
  <c r="L16" i="24"/>
  <c r="K16" i="24"/>
  <c r="J16" i="24"/>
  <c r="U15" i="24"/>
  <c r="T15" i="24"/>
  <c r="S15" i="24"/>
  <c r="R15" i="24"/>
  <c r="Q15" i="24"/>
  <c r="P15" i="24"/>
  <c r="O15" i="24"/>
  <c r="N15" i="24"/>
  <c r="M15" i="24"/>
  <c r="L15" i="24"/>
  <c r="K15" i="24"/>
  <c r="J15" i="24"/>
  <c r="V15" i="24" s="1"/>
  <c r="U14" i="24"/>
  <c r="T14" i="24"/>
  <c r="S14" i="24"/>
  <c r="R14" i="24"/>
  <c r="Q14" i="24"/>
  <c r="P14" i="24"/>
  <c r="O14" i="24"/>
  <c r="N14" i="24"/>
  <c r="M14" i="24"/>
  <c r="L14" i="24"/>
  <c r="K14" i="24"/>
  <c r="J14" i="24"/>
  <c r="V14" i="24" s="1"/>
  <c r="U13" i="24"/>
  <c r="T13" i="24"/>
  <c r="S13" i="24"/>
  <c r="R13" i="24"/>
  <c r="Q13" i="24"/>
  <c r="P13" i="24"/>
  <c r="O13" i="24"/>
  <c r="N13" i="24"/>
  <c r="M13" i="24"/>
  <c r="L13" i="24"/>
  <c r="V13" i="24" s="1"/>
  <c r="K13" i="24"/>
  <c r="J13" i="24"/>
  <c r="I13" i="24"/>
  <c r="U12" i="24"/>
  <c r="T12" i="24"/>
  <c r="S12" i="24"/>
  <c r="R12" i="24"/>
  <c r="R10" i="24" s="1"/>
  <c r="Q12" i="24"/>
  <c r="P12" i="24"/>
  <c r="O12" i="24"/>
  <c r="N12" i="24"/>
  <c r="M12" i="24"/>
  <c r="L12" i="24"/>
  <c r="K12" i="24"/>
  <c r="J12" i="24"/>
  <c r="J10" i="24" s="1"/>
  <c r="V10" i="24" s="1"/>
  <c r="U11" i="24"/>
  <c r="T11" i="24"/>
  <c r="S11" i="24"/>
  <c r="S10" i="24" s="1"/>
  <c r="R11" i="24"/>
  <c r="Q11" i="24"/>
  <c r="Q10" i="24" s="1"/>
  <c r="P11" i="24"/>
  <c r="P10" i="24" s="1"/>
  <c r="O11" i="24"/>
  <c r="O10" i="24" s="1"/>
  <c r="N11" i="24"/>
  <c r="M11" i="24"/>
  <c r="L11" i="24"/>
  <c r="K11" i="24"/>
  <c r="K10" i="24" s="1"/>
  <c r="J11" i="24"/>
  <c r="V11" i="24" s="1"/>
  <c r="U10" i="24"/>
  <c r="T10" i="24"/>
  <c r="N10" i="24"/>
  <c r="M10" i="24"/>
  <c r="L10" i="24"/>
  <c r="V12" i="24" l="1"/>
  <c r="AP32" i="17" l="1"/>
  <c r="C13" i="20"/>
  <c r="C14" i="20"/>
  <c r="C15" i="20"/>
  <c r="C16" i="20"/>
  <c r="AU12" i="17"/>
  <c r="AM27" i="17" l="1"/>
  <c r="AP27" i="17"/>
  <c r="AS27" i="17"/>
  <c r="AS35" i="17"/>
  <c r="AP35" i="17"/>
  <c r="AM35" i="17"/>
  <c r="AP34" i="17"/>
  <c r="AM34" i="17"/>
  <c r="AS34" i="17"/>
  <c r="AS33" i="17" l="1"/>
  <c r="AP33" i="17"/>
  <c r="AM33" i="17"/>
  <c r="AS40" i="17"/>
  <c r="AS39" i="17"/>
  <c r="AS38" i="17"/>
  <c r="AS37" i="17"/>
  <c r="AS11" i="17"/>
  <c r="AS41" i="17" l="1"/>
  <c r="AS32" i="17" l="1"/>
  <c r="AP31" i="17"/>
  <c r="AS31" i="17"/>
  <c r="AS29" i="17" l="1"/>
  <c r="AP29" i="17"/>
  <c r="AS30" i="17"/>
  <c r="AS49" i="17" l="1"/>
  <c r="AS47" i="17"/>
  <c r="AS46" i="17"/>
  <c r="AU45" i="17"/>
  <c r="AT45" i="17"/>
  <c r="AS45" i="17"/>
  <c r="AR45" i="17"/>
  <c r="AQ45" i="17"/>
  <c r="AP45" i="17"/>
  <c r="AU44" i="17"/>
  <c r="AT44" i="17"/>
  <c r="AS44" i="17"/>
  <c r="AU43" i="17"/>
  <c r="AT43" i="17"/>
  <c r="AS43" i="17"/>
  <c r="AS42" i="17"/>
  <c r="AU54" i="17" l="1"/>
  <c r="AT54" i="17"/>
  <c r="AS54" i="17"/>
  <c r="AS53" i="17"/>
  <c r="AS51" i="17"/>
  <c r="AS50" i="17"/>
  <c r="AS48" i="17"/>
  <c r="AQ57" i="17"/>
  <c r="AQ56" i="17"/>
  <c r="AS55" i="17"/>
  <c r="AU36" i="17" l="1"/>
  <c r="AT36" i="17"/>
  <c r="AS36" i="17"/>
  <c r="AS28" i="17" l="1"/>
  <c r="AS24" i="17"/>
  <c r="AS23" i="17"/>
  <c r="AS22" i="17"/>
  <c r="AS26" i="17" l="1"/>
  <c r="AS25" i="17"/>
  <c r="AS21" i="17" l="1"/>
  <c r="AS20" i="17"/>
  <c r="AS19" i="17"/>
  <c r="AS18" i="17"/>
  <c r="AS17" i="17"/>
  <c r="AS16" i="17"/>
  <c r="AS15" i="17"/>
  <c r="AS14" i="17"/>
  <c r="AS13" i="17"/>
  <c r="AT12" i="17"/>
  <c r="AS12" i="17"/>
  <c r="AS10" i="17" l="1"/>
  <c r="W50" i="1" l="1"/>
  <c r="X50" i="1" s="1"/>
  <c r="Y50" i="1" s="1"/>
  <c r="Z50" i="1" s="1"/>
  <c r="X49" i="1"/>
  <c r="Y49" i="1" s="1"/>
  <c r="Z49" i="1" s="1"/>
  <c r="X41" i="1"/>
  <c r="Y41" i="1" s="1"/>
  <c r="Z41" i="1" s="1"/>
  <c r="W38" i="1"/>
  <c r="X37" i="1"/>
  <c r="Y37" i="1" s="1"/>
  <c r="Z37" i="1" s="1"/>
  <c r="Y33" i="1"/>
  <c r="X33" i="1"/>
  <c r="W33" i="1"/>
  <c r="W29" i="1"/>
  <c r="X20" i="1"/>
  <c r="Y20" i="1" s="1"/>
  <c r="Z20" i="1" s="1"/>
  <c r="X19" i="1"/>
  <c r="Y19" i="1" s="1"/>
  <c r="Z19" i="1" s="1"/>
  <c r="X18" i="1"/>
  <c r="Y18" i="1" s="1"/>
  <c r="Z18" i="1" s="1"/>
  <c r="X17" i="1"/>
  <c r="Y17" i="1" s="1"/>
  <c r="Z17" i="1" s="1"/>
  <c r="X16" i="1"/>
  <c r="X15" i="1" s="1"/>
  <c r="Y15" i="1" s="1"/>
  <c r="Z15" i="1" s="1"/>
  <c r="X10" i="1"/>
  <c r="Y10" i="1" s="1"/>
  <c r="Z10" i="1" s="1"/>
  <c r="Y16" i="1" l="1"/>
  <c r="Z16" i="1" s="1"/>
  <c r="I16" i="20"/>
  <c r="AP49" i="17"/>
  <c r="AM49" i="17"/>
  <c r="AP46" i="17"/>
  <c r="AO45" i="17"/>
  <c r="AN45" i="17"/>
  <c r="AM45" i="17"/>
  <c r="AR44" i="17"/>
  <c r="AQ44" i="17"/>
  <c r="AP44" i="17"/>
  <c r="AR43" i="17"/>
  <c r="AQ43" i="17"/>
  <c r="AP43" i="17"/>
  <c r="AP42" i="17"/>
  <c r="AP41" i="17" l="1"/>
  <c r="AM41" i="17"/>
  <c r="AP40" i="17"/>
  <c r="AM40" i="17"/>
  <c r="AP39" i="17"/>
  <c r="AM39" i="17"/>
  <c r="AP38" i="17"/>
  <c r="AM38" i="17"/>
  <c r="AM32" i="17"/>
  <c r="AP30" i="17"/>
  <c r="AP11" i="17"/>
  <c r="AR54" i="17" l="1"/>
  <c r="AQ54" i="17"/>
  <c r="AP54" i="17"/>
  <c r="AP53" i="17"/>
  <c r="AM52" i="17" l="1"/>
  <c r="AP48" i="17"/>
  <c r="AM48" i="17"/>
  <c r="AM57" i="17" l="1"/>
  <c r="AM56" i="17"/>
  <c r="AP55" i="17" l="1"/>
  <c r="AQ36" i="17" l="1"/>
  <c r="AR36" i="17"/>
  <c r="AP36" i="17"/>
  <c r="AP28" i="17"/>
  <c r="AP26" i="17"/>
  <c r="AM26" i="17"/>
  <c r="AP25" i="17"/>
  <c r="AP24" i="17"/>
  <c r="AP23" i="17"/>
  <c r="AP22" i="17"/>
  <c r="AP21" i="17" l="1"/>
  <c r="AP20" i="17"/>
  <c r="AP19" i="17"/>
  <c r="AP18" i="17"/>
  <c r="AP17" i="17"/>
  <c r="AP16" i="17"/>
  <c r="AP14" i="17"/>
  <c r="AP13" i="17"/>
  <c r="AM13" i="17"/>
  <c r="AR12" i="17" l="1"/>
  <c r="AQ12" i="17"/>
  <c r="AP12" i="17"/>
  <c r="AP10" i="17" l="1"/>
  <c r="AP51" i="17"/>
  <c r="AP50" i="17"/>
  <c r="AP47" i="17"/>
  <c r="AP37" i="17"/>
  <c r="AP15" i="17"/>
  <c r="K25" i="21" l="1"/>
  <c r="B31" i="21"/>
  <c r="B30" i="21"/>
  <c r="D25" i="21"/>
  <c r="D23" i="21"/>
  <c r="D22" i="21"/>
  <c r="D21" i="21"/>
  <c r="D20" i="21"/>
  <c r="D19" i="21"/>
  <c r="D18" i="21"/>
  <c r="D16" i="21"/>
  <c r="D15" i="21"/>
  <c r="D14" i="21"/>
  <c r="K10" i="21"/>
  <c r="F10" i="21"/>
  <c r="A10" i="21"/>
  <c r="I5" i="21"/>
  <c r="C5" i="21"/>
  <c r="N32" i="21" l="1"/>
  <c r="M32" i="21"/>
  <c r="L32" i="21"/>
  <c r="K32" i="21"/>
  <c r="J32" i="21"/>
  <c r="I32" i="21"/>
  <c r="H32" i="21"/>
  <c r="G32" i="21"/>
  <c r="F32" i="21"/>
  <c r="E32" i="21"/>
  <c r="D32" i="21"/>
  <c r="C32" i="21"/>
  <c r="J3" i="21"/>
  <c r="AI51" i="17"/>
  <c r="C4" i="17" l="1"/>
  <c r="C3" i="17"/>
  <c r="O43" i="17"/>
  <c r="O41" i="17"/>
  <c r="V25" i="17"/>
  <c r="U25" i="17"/>
  <c r="AK22" i="17"/>
  <c r="AK21" i="17"/>
  <c r="AK20" i="17"/>
  <c r="AK19" i="17"/>
  <c r="AK18" i="17"/>
  <c r="AK17" i="17"/>
  <c r="AK16" i="17"/>
  <c r="F14" i="20" l="1"/>
  <c r="F15" i="20"/>
  <c r="F13" i="20" l="1"/>
  <c r="F16" i="20"/>
  <c r="C17" i="20"/>
  <c r="D15" i="20" s="1"/>
  <c r="F17" i="20" l="1"/>
  <c r="B12" i="20" s="1"/>
  <c r="C19" i="20" s="1"/>
  <c r="D14" i="20"/>
  <c r="D16" i="20"/>
  <c r="D13" i="20"/>
  <c r="AM47" i="17"/>
  <c r="AM46" i="17"/>
  <c r="AO44" i="17"/>
  <c r="AN44" i="17"/>
  <c r="AM44" i="17"/>
  <c r="AO43" i="17"/>
  <c r="AN43" i="17"/>
  <c r="AM43" i="17"/>
  <c r="AM42" i="17"/>
  <c r="I18" i="20" l="1"/>
  <c r="I20" i="20" s="1"/>
  <c r="I22" i="20" s="1"/>
  <c r="AM37" i="17"/>
  <c r="AM31" i="17"/>
  <c r="AM30" i="17"/>
  <c r="AM11" i="17"/>
  <c r="AO54" i="17" l="1"/>
  <c r="AN54" i="17"/>
  <c r="AM54" i="17"/>
  <c r="AM51" i="17" l="1"/>
  <c r="AM50" i="17"/>
  <c r="AM55" i="17" l="1"/>
  <c r="AO36" i="17" l="1"/>
  <c r="AN36" i="17"/>
  <c r="AM36" i="17"/>
  <c r="AM28" i="17" l="1"/>
  <c r="AM22" i="17"/>
  <c r="AM25" i="17"/>
  <c r="AM24" i="17"/>
  <c r="AM23" i="17"/>
  <c r="U23" i="17"/>
  <c r="Q23" i="17"/>
  <c r="P23" i="17"/>
  <c r="O23" i="17"/>
  <c r="N23" i="17"/>
  <c r="M23" i="17"/>
  <c r="K23" i="17"/>
  <c r="I23" i="17"/>
  <c r="H23" i="17"/>
  <c r="G23" i="17"/>
  <c r="F23" i="17"/>
  <c r="E23" i="17"/>
  <c r="D23" i="17"/>
  <c r="C23" i="17"/>
  <c r="B23" i="17"/>
  <c r="A23" i="17"/>
  <c r="AY23" i="17" s="1"/>
  <c r="J23" i="17"/>
  <c r="V23" i="17"/>
  <c r="W23" i="17"/>
  <c r="X23" i="17"/>
  <c r="Y23" i="17"/>
  <c r="Z23" i="17"/>
  <c r="AA23" i="17"/>
  <c r="AB23" i="17"/>
  <c r="AC23" i="17"/>
  <c r="AD23" i="17"/>
  <c r="AE23" i="17"/>
  <c r="AF23" i="17"/>
  <c r="AG23" i="17"/>
  <c r="AH23" i="17"/>
  <c r="AI23" i="17"/>
  <c r="AJ23" i="17"/>
  <c r="AK23" i="17"/>
  <c r="AL23" i="17"/>
  <c r="L23" i="17" l="1"/>
  <c r="AM15" i="17" l="1"/>
  <c r="AM14" i="17"/>
  <c r="AO12" i="17"/>
  <c r="AN12" i="17"/>
  <c r="AM12" i="17"/>
  <c r="AM10" i="17"/>
  <c r="AM21" i="17"/>
  <c r="AM20" i="17"/>
  <c r="AM19" i="17"/>
  <c r="AM18" i="17"/>
  <c r="AM17" i="17"/>
  <c r="AM16" i="17"/>
  <c r="AL36" i="17" l="1"/>
  <c r="AK36" i="17"/>
  <c r="AJ36" i="17"/>
  <c r="AI36" i="17"/>
  <c r="AH36" i="17"/>
  <c r="AG36" i="17"/>
  <c r="AF36" i="17"/>
  <c r="AE36" i="17"/>
  <c r="AD36" i="17"/>
  <c r="AC36" i="17"/>
  <c r="AB36" i="17"/>
  <c r="AA36" i="17"/>
  <c r="Z36" i="17"/>
  <c r="Y36" i="17"/>
  <c r="X36" i="17"/>
  <c r="W36" i="17"/>
  <c r="V36" i="17"/>
  <c r="U36" i="17"/>
  <c r="R36" i="17"/>
  <c r="Q36" i="17"/>
  <c r="P36" i="17"/>
  <c r="O36" i="17"/>
  <c r="N36" i="17"/>
  <c r="M36" i="17"/>
  <c r="K36" i="17"/>
  <c r="J36" i="17"/>
  <c r="H36" i="17"/>
  <c r="I36" i="17"/>
  <c r="G36" i="17"/>
  <c r="F36" i="17"/>
  <c r="E36" i="17"/>
  <c r="D36" i="17"/>
  <c r="C36" i="17"/>
  <c r="B36" i="17"/>
  <c r="A36" i="17"/>
  <c r="AY36" i="17" s="1"/>
  <c r="L36" i="17" l="1"/>
  <c r="AK47" i="17"/>
  <c r="AK46" i="17"/>
  <c r="AK45" i="17"/>
  <c r="AK44" i="17"/>
  <c r="AK43" i="17"/>
  <c r="AJ47" i="17"/>
  <c r="AJ46" i="17"/>
  <c r="AJ45" i="17"/>
  <c r="AJ44" i="17"/>
  <c r="AJ43"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L16" i="17"/>
  <c r="AE17" i="17"/>
  <c r="AF17" i="17"/>
  <c r="AG17" i="17"/>
  <c r="AH17" i="17"/>
  <c r="AI17" i="17"/>
  <c r="AJ17" i="17"/>
  <c r="AL17" i="17"/>
  <c r="AE18" i="17"/>
  <c r="AF18" i="17"/>
  <c r="AG18" i="17"/>
  <c r="AH18" i="17"/>
  <c r="AI18" i="17"/>
  <c r="AJ18" i="17"/>
  <c r="AL18" i="17"/>
  <c r="AE19" i="17"/>
  <c r="AF19" i="17"/>
  <c r="AG19" i="17"/>
  <c r="AH19" i="17"/>
  <c r="AI19" i="17"/>
  <c r="AJ19" i="17"/>
  <c r="AL19" i="17"/>
  <c r="AE20" i="17"/>
  <c r="AF20" i="17"/>
  <c r="AG20" i="17"/>
  <c r="AH20" i="17"/>
  <c r="AI20" i="17"/>
  <c r="AJ20" i="17"/>
  <c r="AL20" i="17"/>
  <c r="AE21" i="17"/>
  <c r="AF21" i="17"/>
  <c r="AG21" i="17"/>
  <c r="AH21" i="17"/>
  <c r="AI21" i="17"/>
  <c r="AJ21" i="17"/>
  <c r="AL21" i="17"/>
  <c r="AE22" i="17"/>
  <c r="AF22" i="17"/>
  <c r="AG22" i="17"/>
  <c r="AH22" i="17"/>
  <c r="AI22" i="17"/>
  <c r="AJ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7" i="17"/>
  <c r="AF37" i="17"/>
  <c r="AG37" i="17"/>
  <c r="AH37" i="17"/>
  <c r="AI37" i="17"/>
  <c r="AJ37" i="17"/>
  <c r="AK37" i="17"/>
  <c r="AL37" i="17"/>
  <c r="AE38" i="17"/>
  <c r="AF38" i="17"/>
  <c r="AG38" i="17"/>
  <c r="AH38" i="17"/>
  <c r="AI38" i="17"/>
  <c r="AJ38" i="17"/>
  <c r="AK38" i="17"/>
  <c r="AL38"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L43" i="17"/>
  <c r="AE44" i="17"/>
  <c r="AF44" i="17"/>
  <c r="AG44" i="17"/>
  <c r="AH44" i="17"/>
  <c r="AI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J48" i="17"/>
  <c r="AK48" i="17"/>
  <c r="AL48" i="17"/>
  <c r="AE49" i="17"/>
  <c r="AF49" i="17"/>
  <c r="AG49" i="17"/>
  <c r="AH49" i="17"/>
  <c r="AI49" i="17"/>
  <c r="AJ49" i="17"/>
  <c r="AK49" i="17"/>
  <c r="AL49" i="17"/>
  <c r="AE50" i="17"/>
  <c r="AF50" i="17"/>
  <c r="AG50" i="17"/>
  <c r="AH50" i="17"/>
  <c r="AI50" i="17"/>
  <c r="AJ50" i="17"/>
  <c r="AK50" i="17"/>
  <c r="AL50" i="17"/>
  <c r="AE51" i="17"/>
  <c r="AF51" i="17"/>
  <c r="AG51" i="17"/>
  <c r="AH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G10" i="17"/>
  <c r="AH10" i="17"/>
  <c r="AI10" i="17"/>
  <c r="AJ10" i="17"/>
  <c r="AK10" i="17"/>
  <c r="AL10" i="17"/>
  <c r="AF10" i="17"/>
  <c r="AE10" i="17"/>
  <c r="AB56" i="17"/>
  <c r="AC56" i="17"/>
  <c r="AD56" i="17"/>
  <c r="AB57" i="17"/>
  <c r="AC57" i="17"/>
  <c r="AD57" i="17"/>
  <c r="AA57" i="17"/>
  <c r="AA56" i="17"/>
  <c r="AA47" i="17"/>
  <c r="AA46" i="17"/>
  <c r="AA45" i="17"/>
  <c r="AA44" i="17"/>
  <c r="AA43" i="17"/>
  <c r="Z57" i="17"/>
  <c r="Z56" i="17"/>
  <c r="Y57" i="17"/>
  <c r="Y56" i="17"/>
  <c r="X57" i="17"/>
  <c r="X56" i="17"/>
  <c r="W57" i="17"/>
  <c r="W56"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B30" i="17"/>
  <c r="AC30" i="17"/>
  <c r="AD30" i="17"/>
  <c r="W31" i="17"/>
  <c r="X31" i="17"/>
  <c r="Y31" i="17"/>
  <c r="Z31" i="17"/>
  <c r="AA31" i="17"/>
  <c r="AB31" i="17"/>
  <c r="AC31" i="17"/>
  <c r="AD31" i="17"/>
  <c r="W32" i="17"/>
  <c r="X32" i="17"/>
  <c r="Y32" i="17"/>
  <c r="Z32" i="17"/>
  <c r="AA32" i="17"/>
  <c r="AB32" i="17"/>
  <c r="AC32" i="17"/>
  <c r="AD32" i="17"/>
  <c r="W33" i="17"/>
  <c r="X33" i="17"/>
  <c r="Y33" i="17"/>
  <c r="Z33" i="17"/>
  <c r="AA33" i="17"/>
  <c r="AB33" i="17"/>
  <c r="AC33" i="17"/>
  <c r="AD33" i="17"/>
  <c r="W34" i="17"/>
  <c r="X34" i="17"/>
  <c r="Y34" i="17"/>
  <c r="Z34" i="17"/>
  <c r="AD34" i="17"/>
  <c r="W35" i="17"/>
  <c r="X35" i="17"/>
  <c r="Y35" i="17"/>
  <c r="Z35" i="17"/>
  <c r="AA35" i="17"/>
  <c r="AB35" i="17"/>
  <c r="AC35" i="17"/>
  <c r="AD35" i="17"/>
  <c r="W37" i="17"/>
  <c r="X37" i="17"/>
  <c r="Y37" i="17"/>
  <c r="Z37" i="17"/>
  <c r="AA37" i="17"/>
  <c r="AB37" i="17"/>
  <c r="AC37" i="17"/>
  <c r="AD37" i="17"/>
  <c r="W38" i="17"/>
  <c r="X38" i="17"/>
  <c r="Y38" i="17"/>
  <c r="Z38" i="17"/>
  <c r="AA38" i="17"/>
  <c r="W39" i="17"/>
  <c r="X39" i="17"/>
  <c r="Y39" i="17"/>
  <c r="Z39" i="17"/>
  <c r="AB39" i="17"/>
  <c r="AC39" i="17"/>
  <c r="AD39" i="17"/>
  <c r="W40" i="17"/>
  <c r="X40" i="17"/>
  <c r="Y40" i="17"/>
  <c r="Z40" i="17"/>
  <c r="AA40" i="17"/>
  <c r="AB40" i="17"/>
  <c r="AC40" i="17"/>
  <c r="AD40" i="17"/>
  <c r="W41" i="17"/>
  <c r="X41" i="17"/>
  <c r="Y41" i="17"/>
  <c r="Z41" i="17"/>
  <c r="AA41" i="17"/>
  <c r="AB41" i="17"/>
  <c r="AC41" i="17"/>
  <c r="AD41" i="17"/>
  <c r="W42" i="17"/>
  <c r="X42" i="17"/>
  <c r="Y42" i="17"/>
  <c r="Z42" i="17"/>
  <c r="AA42" i="17"/>
  <c r="W43" i="17"/>
  <c r="X43" i="17"/>
  <c r="Y43" i="17"/>
  <c r="Z43" i="17"/>
  <c r="W44" i="17"/>
  <c r="X44" i="17"/>
  <c r="Y44" i="17"/>
  <c r="Z44" i="17"/>
  <c r="W45" i="17"/>
  <c r="X45" i="17"/>
  <c r="Y45" i="17"/>
  <c r="Z45" i="17"/>
  <c r="W46" i="17"/>
  <c r="X46" i="17"/>
  <c r="Y46" i="17"/>
  <c r="Z46" i="17"/>
  <c r="W47" i="17"/>
  <c r="X47" i="17"/>
  <c r="Y47" i="17"/>
  <c r="Z47" i="17"/>
  <c r="W48" i="17"/>
  <c r="X48" i="17"/>
  <c r="Y48" i="17"/>
  <c r="Z48" i="17"/>
  <c r="AA48" i="17"/>
  <c r="AB48" i="17"/>
  <c r="AC48" i="17"/>
  <c r="AD48" i="17"/>
  <c r="W49" i="17"/>
  <c r="X49" i="17"/>
  <c r="Y49" i="17"/>
  <c r="Z49" i="17"/>
  <c r="AA49" i="17"/>
  <c r="AB49" i="17"/>
  <c r="AC49" i="17"/>
  <c r="AD49" i="17"/>
  <c r="W50" i="17"/>
  <c r="X50" i="17"/>
  <c r="Y50" i="17"/>
  <c r="Z50" i="17"/>
  <c r="AA50" i="17"/>
  <c r="W51" i="17"/>
  <c r="X51" i="17"/>
  <c r="Y51" i="17"/>
  <c r="Z51" i="17"/>
  <c r="W52" i="17"/>
  <c r="X52" i="17"/>
  <c r="Y52" i="17"/>
  <c r="Z52" i="17"/>
  <c r="W53" i="17"/>
  <c r="X53" i="17"/>
  <c r="Y53" i="17"/>
  <c r="Z53" i="17"/>
  <c r="AA53" i="17"/>
  <c r="AB53" i="17"/>
  <c r="AC53" i="17"/>
  <c r="AD53" i="17"/>
  <c r="W54" i="17"/>
  <c r="X54" i="17"/>
  <c r="Y54" i="17"/>
  <c r="Z54" i="17"/>
  <c r="AA54" i="17"/>
  <c r="AB54" i="17"/>
  <c r="AC54" i="17"/>
  <c r="AD54" i="17"/>
  <c r="W55" i="17"/>
  <c r="X55" i="17"/>
  <c r="Y55" i="17"/>
  <c r="Z55" i="17"/>
  <c r="AA55" i="17"/>
  <c r="AB55" i="17"/>
  <c r="AC55" i="17"/>
  <c r="AD55" i="17"/>
  <c r="AD10" i="17"/>
  <c r="AC10" i="17"/>
  <c r="AB10" i="17"/>
  <c r="AA10" i="17"/>
  <c r="Z10" i="17"/>
  <c r="Y10" i="17"/>
  <c r="X10" i="17"/>
  <c r="W10" i="17"/>
  <c r="V47" i="17"/>
  <c r="V46" i="17"/>
  <c r="V45" i="17"/>
  <c r="V44" i="17"/>
  <c r="V43" i="17"/>
  <c r="V57" i="17"/>
  <c r="V56" i="17"/>
  <c r="U57" i="17"/>
  <c r="U56"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6" i="17"/>
  <c r="V26" i="17"/>
  <c r="U27" i="17"/>
  <c r="V27" i="17"/>
  <c r="U28" i="17"/>
  <c r="V28" i="17"/>
  <c r="U29" i="17"/>
  <c r="V29" i="17"/>
  <c r="U30" i="17"/>
  <c r="V30" i="17"/>
  <c r="U31" i="17"/>
  <c r="V31" i="17"/>
  <c r="U32" i="17"/>
  <c r="V32" i="17"/>
  <c r="U33" i="17"/>
  <c r="V33" i="17"/>
  <c r="U34" i="17"/>
  <c r="V34" i="17"/>
  <c r="U35" i="17"/>
  <c r="V35" i="17"/>
  <c r="U37" i="17"/>
  <c r="V37" i="17"/>
  <c r="U38" i="17"/>
  <c r="V38" i="17"/>
  <c r="U39" i="17"/>
  <c r="V39" i="17"/>
  <c r="U40" i="17"/>
  <c r="V40" i="17"/>
  <c r="U41" i="17"/>
  <c r="V41" i="17"/>
  <c r="U42" i="17"/>
  <c r="V42" i="17"/>
  <c r="U43" i="17"/>
  <c r="U44" i="17"/>
  <c r="U45" i="17"/>
  <c r="U46" i="17"/>
  <c r="U47" i="17"/>
  <c r="U48" i="17"/>
  <c r="V48" i="17"/>
  <c r="U49" i="17"/>
  <c r="V49" i="17"/>
  <c r="U50" i="17"/>
  <c r="V50" i="17"/>
  <c r="U51" i="17"/>
  <c r="V51" i="17"/>
  <c r="U52" i="17"/>
  <c r="V52" i="17"/>
  <c r="U53" i="17"/>
  <c r="V53" i="17"/>
  <c r="U54" i="17"/>
  <c r="V54" i="17"/>
  <c r="U55" i="17"/>
  <c r="V55" i="17"/>
  <c r="V10" i="17"/>
  <c r="U10" i="17"/>
  <c r="O56" i="17"/>
  <c r="P56" i="17"/>
  <c r="Q56" i="17"/>
  <c r="O57" i="17"/>
  <c r="P57" i="17"/>
  <c r="Q57" i="17"/>
  <c r="N57" i="17"/>
  <c r="N56" i="17"/>
  <c r="M57" i="17"/>
  <c r="M56" i="17"/>
  <c r="M47" i="17"/>
  <c r="M46" i="17"/>
  <c r="M45" i="17"/>
  <c r="M44" i="17"/>
  <c r="M43" i="17"/>
  <c r="K47" i="17"/>
  <c r="K46" i="17"/>
  <c r="K45" i="17"/>
  <c r="K44" i="17"/>
  <c r="K43" i="17"/>
  <c r="J11" i="17"/>
  <c r="J12" i="17"/>
  <c r="J13" i="17"/>
  <c r="J14" i="17"/>
  <c r="J15" i="17"/>
  <c r="J16" i="17"/>
  <c r="J17" i="17"/>
  <c r="J18" i="17"/>
  <c r="J19" i="17"/>
  <c r="J20" i="17"/>
  <c r="J21" i="17"/>
  <c r="J22" i="17"/>
  <c r="J24" i="17"/>
  <c r="J25" i="17"/>
  <c r="J26" i="17"/>
  <c r="J27" i="17"/>
  <c r="J28" i="17"/>
  <c r="J29" i="17"/>
  <c r="J30" i="17"/>
  <c r="J31" i="17"/>
  <c r="J32" i="17"/>
  <c r="J33" i="17"/>
  <c r="J34" i="17"/>
  <c r="J35" i="17"/>
  <c r="J37" i="17"/>
  <c r="J38" i="17"/>
  <c r="J39" i="17"/>
  <c r="J40" i="17"/>
  <c r="J41" i="17"/>
  <c r="J42" i="17"/>
  <c r="J43" i="17"/>
  <c r="J44" i="17"/>
  <c r="J45" i="17"/>
  <c r="J46" i="17"/>
  <c r="J47" i="17"/>
  <c r="J48" i="17"/>
  <c r="J49" i="17"/>
  <c r="J50" i="17"/>
  <c r="J51" i="17"/>
  <c r="J52" i="17"/>
  <c r="J53" i="17"/>
  <c r="J54" i="17"/>
  <c r="J55" i="17"/>
  <c r="J56" i="17"/>
  <c r="J57" i="17"/>
  <c r="K11" i="17"/>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7" i="17"/>
  <c r="M37" i="17"/>
  <c r="N37" i="17"/>
  <c r="O37" i="17"/>
  <c r="P37" i="17"/>
  <c r="Q37" i="17"/>
  <c r="R37" i="17"/>
  <c r="K38" i="17"/>
  <c r="M38" i="17"/>
  <c r="N38" i="17"/>
  <c r="O38" i="17"/>
  <c r="P38" i="17"/>
  <c r="Q38" i="17"/>
  <c r="R38" i="17"/>
  <c r="K39" i="17"/>
  <c r="M39" i="17"/>
  <c r="N39" i="17"/>
  <c r="O39" i="17"/>
  <c r="P39" i="17"/>
  <c r="Q39" i="17"/>
  <c r="R39" i="17"/>
  <c r="K40" i="17"/>
  <c r="M40" i="17"/>
  <c r="N40" i="17"/>
  <c r="O40" i="17"/>
  <c r="P40" i="17"/>
  <c r="Q40" i="17"/>
  <c r="R40" i="17"/>
  <c r="K41" i="17"/>
  <c r="M41" i="17"/>
  <c r="N41" i="17"/>
  <c r="P41" i="17"/>
  <c r="Q41" i="17"/>
  <c r="R41" i="17"/>
  <c r="K42" i="17"/>
  <c r="M42" i="17"/>
  <c r="N42" i="17"/>
  <c r="O42" i="17"/>
  <c r="P42" i="17"/>
  <c r="Q42" i="17"/>
  <c r="R42" i="17"/>
  <c r="N43" i="17"/>
  <c r="P43" i="17"/>
  <c r="Q43" i="17"/>
  <c r="R43" i="17"/>
  <c r="N44" i="17"/>
  <c r="O44" i="17"/>
  <c r="P44" i="17"/>
  <c r="Q44" i="17"/>
  <c r="R44" i="17"/>
  <c r="N45" i="17"/>
  <c r="O45" i="17"/>
  <c r="P45" i="17"/>
  <c r="Q45" i="17"/>
  <c r="R45" i="17"/>
  <c r="N46" i="17"/>
  <c r="O46" i="17"/>
  <c r="P46" i="17"/>
  <c r="Q46" i="17"/>
  <c r="R46" i="17"/>
  <c r="N47" i="17"/>
  <c r="O47" i="17"/>
  <c r="P47" i="17"/>
  <c r="Q47" i="17"/>
  <c r="R47" i="17"/>
  <c r="K48" i="17"/>
  <c r="M48" i="17"/>
  <c r="N48" i="17"/>
  <c r="O48" i="17"/>
  <c r="P48" i="17"/>
  <c r="Q48" i="17"/>
  <c r="R48" i="17"/>
  <c r="K49" i="17"/>
  <c r="M49"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N10" i="17"/>
  <c r="O10" i="17"/>
  <c r="P10" i="17"/>
  <c r="Q10" i="17"/>
  <c r="R10" i="17"/>
  <c r="M10" i="17"/>
  <c r="K10" i="17"/>
  <c r="J10" i="17"/>
  <c r="I57" i="17"/>
  <c r="I56" i="17"/>
  <c r="H57" i="17"/>
  <c r="H56" i="17"/>
  <c r="I49" i="17"/>
  <c r="H49" i="17"/>
  <c r="I47" i="17"/>
  <c r="I46" i="17"/>
  <c r="I45" i="17"/>
  <c r="I44" i="17"/>
  <c r="H47" i="17"/>
  <c r="H46" i="17"/>
  <c r="H45" i="17"/>
  <c r="H44" i="17"/>
  <c r="I43" i="17"/>
  <c r="H43" i="17"/>
  <c r="I28" i="17"/>
  <c r="H28"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5" i="17"/>
  <c r="I25" i="17"/>
  <c r="H26" i="17"/>
  <c r="I26" i="17"/>
  <c r="H27" i="17"/>
  <c r="I27" i="17"/>
  <c r="H29" i="17"/>
  <c r="I29" i="17"/>
  <c r="H30" i="17"/>
  <c r="I30" i="17"/>
  <c r="H31" i="17"/>
  <c r="I31" i="17"/>
  <c r="H32" i="17"/>
  <c r="I32" i="17"/>
  <c r="H33" i="17"/>
  <c r="I33" i="17"/>
  <c r="H34" i="17"/>
  <c r="I34" i="17"/>
  <c r="H35" i="17"/>
  <c r="I35" i="17"/>
  <c r="H37" i="17"/>
  <c r="I37" i="17"/>
  <c r="H38" i="17"/>
  <c r="I38" i="17"/>
  <c r="H39" i="17"/>
  <c r="I39" i="17"/>
  <c r="H40" i="17"/>
  <c r="I40" i="17"/>
  <c r="H41" i="17"/>
  <c r="I41" i="17"/>
  <c r="H42" i="17"/>
  <c r="I42" i="17"/>
  <c r="H48" i="17"/>
  <c r="I48" i="17"/>
  <c r="H50" i="17"/>
  <c r="I50" i="17"/>
  <c r="H51" i="17"/>
  <c r="I51" i="17"/>
  <c r="H52" i="17"/>
  <c r="I52" i="17"/>
  <c r="H53" i="17"/>
  <c r="I53" i="17"/>
  <c r="H54" i="17"/>
  <c r="I54" i="17"/>
  <c r="H55" i="17"/>
  <c r="I55" i="17"/>
  <c r="I10" i="17"/>
  <c r="H10" i="17"/>
  <c r="G57" i="17"/>
  <c r="G56" i="17"/>
  <c r="G49" i="17"/>
  <c r="G47" i="17"/>
  <c r="G46" i="17"/>
  <c r="G45" i="17"/>
  <c r="G44" i="17"/>
  <c r="G43" i="17"/>
  <c r="G40" i="17"/>
  <c r="G39" i="17"/>
  <c r="G38" i="17"/>
  <c r="G35" i="17"/>
  <c r="G34" i="17"/>
  <c r="G28" i="17"/>
  <c r="G26" i="17"/>
  <c r="G21" i="17"/>
  <c r="G20" i="17"/>
  <c r="G11" i="17"/>
  <c r="G12" i="17"/>
  <c r="G13" i="17"/>
  <c r="G14" i="17"/>
  <c r="G15" i="17"/>
  <c r="G16" i="17"/>
  <c r="G17" i="17"/>
  <c r="G18" i="17"/>
  <c r="G19" i="17"/>
  <c r="G22" i="17"/>
  <c r="G24" i="17"/>
  <c r="G25" i="17"/>
  <c r="G27" i="17"/>
  <c r="G29" i="17"/>
  <c r="G30" i="17"/>
  <c r="G31" i="17"/>
  <c r="G32" i="17"/>
  <c r="G33" i="17"/>
  <c r="G37" i="17"/>
  <c r="G41" i="17"/>
  <c r="G42" i="17"/>
  <c r="G48" i="17"/>
  <c r="G50" i="17"/>
  <c r="G51" i="17"/>
  <c r="G52" i="17"/>
  <c r="G53" i="17"/>
  <c r="G54" i="17"/>
  <c r="G55"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7" i="17"/>
  <c r="D37" i="17"/>
  <c r="E37" i="17"/>
  <c r="F37" i="17"/>
  <c r="C38" i="17"/>
  <c r="D38" i="17"/>
  <c r="E38" i="17"/>
  <c r="F38"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B57" i="17"/>
  <c r="B56" i="17"/>
  <c r="B54" i="17"/>
  <c r="B49" i="17"/>
  <c r="B47" i="17"/>
  <c r="B46" i="17"/>
  <c r="B45" i="17"/>
  <c r="B44" i="17"/>
  <c r="B43" i="17"/>
  <c r="B40" i="17"/>
  <c r="B39" i="17"/>
  <c r="B38" i="17"/>
  <c r="B35" i="17"/>
  <c r="B34" i="17"/>
  <c r="B32" i="17"/>
  <c r="B31" i="17"/>
  <c r="B28" i="17"/>
  <c r="B26" i="17"/>
  <c r="B21" i="17"/>
  <c r="B20" i="17"/>
  <c r="B19" i="17"/>
  <c r="B17" i="17"/>
  <c r="B14" i="17"/>
  <c r="B13" i="17"/>
  <c r="B11" i="17"/>
  <c r="B12" i="17"/>
  <c r="B15" i="17"/>
  <c r="B16" i="17"/>
  <c r="B18" i="17"/>
  <c r="B22" i="17"/>
  <c r="B24" i="17"/>
  <c r="B25" i="17"/>
  <c r="B27" i="17"/>
  <c r="B29" i="17"/>
  <c r="B30" i="17"/>
  <c r="B33" i="17"/>
  <c r="B37" i="17"/>
  <c r="B41" i="17"/>
  <c r="B42" i="17"/>
  <c r="B48" i="17"/>
  <c r="B50" i="17"/>
  <c r="B51" i="17"/>
  <c r="B52" i="17"/>
  <c r="B53" i="17"/>
  <c r="B55" i="17"/>
  <c r="B10" i="17"/>
  <c r="A11" i="17"/>
  <c r="AY11" i="17" s="1"/>
  <c r="A12" i="17"/>
  <c r="AY12" i="17" s="1"/>
  <c r="A13" i="17"/>
  <c r="AY13" i="17" s="1"/>
  <c r="A14" i="17"/>
  <c r="AY14" i="17" s="1"/>
  <c r="A15" i="17"/>
  <c r="AY15" i="17" s="1"/>
  <c r="A16" i="17"/>
  <c r="AY16" i="17" s="1"/>
  <c r="A17" i="17"/>
  <c r="AY17" i="17" s="1"/>
  <c r="A18" i="17"/>
  <c r="AY18" i="17" s="1"/>
  <c r="A19" i="17"/>
  <c r="AY19" i="17" s="1"/>
  <c r="A20" i="17"/>
  <c r="AY20" i="17" s="1"/>
  <c r="A21" i="17"/>
  <c r="AY21" i="17" s="1"/>
  <c r="A22" i="17"/>
  <c r="AY22" i="17" s="1"/>
  <c r="A24" i="17"/>
  <c r="AY24" i="17" s="1"/>
  <c r="A25" i="17"/>
  <c r="AY25" i="17" s="1"/>
  <c r="A26" i="17"/>
  <c r="AY26" i="17" s="1"/>
  <c r="A27" i="17"/>
  <c r="AY27" i="17" s="1"/>
  <c r="A28" i="17"/>
  <c r="AY28" i="17" s="1"/>
  <c r="A29" i="17"/>
  <c r="AY29" i="17" s="1"/>
  <c r="A30" i="17"/>
  <c r="AY30" i="17" s="1"/>
  <c r="A31" i="17"/>
  <c r="AY31" i="17" s="1"/>
  <c r="A32" i="17"/>
  <c r="AY32" i="17" s="1"/>
  <c r="A33" i="17"/>
  <c r="AY33" i="17" s="1"/>
  <c r="A34" i="17"/>
  <c r="AY34" i="17" s="1"/>
  <c r="A35" i="17"/>
  <c r="AY35" i="17" s="1"/>
  <c r="A37" i="17"/>
  <c r="AY37" i="17" s="1"/>
  <c r="A38" i="17"/>
  <c r="AY38" i="17" s="1"/>
  <c r="A39" i="17"/>
  <c r="AY39" i="17" s="1"/>
  <c r="A40" i="17"/>
  <c r="AY40" i="17" s="1"/>
  <c r="A41" i="17"/>
  <c r="AY41" i="17" s="1"/>
  <c r="A42" i="17"/>
  <c r="AY42" i="17" s="1"/>
  <c r="A43" i="17"/>
  <c r="AY43" i="17" s="1"/>
  <c r="A44" i="17"/>
  <c r="AY44" i="17" s="1"/>
  <c r="A45" i="17"/>
  <c r="AY45" i="17" s="1"/>
  <c r="A46" i="17"/>
  <c r="AY46" i="17" s="1"/>
  <c r="A47" i="17"/>
  <c r="AY47" i="17" s="1"/>
  <c r="A48" i="17"/>
  <c r="AY48" i="17" s="1"/>
  <c r="A49" i="17"/>
  <c r="AY49" i="17" s="1"/>
  <c r="A50" i="17"/>
  <c r="AY50" i="17" s="1"/>
  <c r="A51" i="17"/>
  <c r="AY51" i="17" s="1"/>
  <c r="A52" i="17"/>
  <c r="AY52" i="17" s="1"/>
  <c r="A53" i="17"/>
  <c r="AY53" i="17" s="1"/>
  <c r="A54" i="17"/>
  <c r="AY54" i="17" s="1"/>
  <c r="A55" i="17"/>
  <c r="AY55" i="17" s="1"/>
  <c r="A56" i="17"/>
  <c r="AY56" i="17" s="1"/>
  <c r="A57" i="17"/>
  <c r="AY57" i="17" s="1"/>
  <c r="A10" i="17"/>
  <c r="AY10" i="17" s="1"/>
  <c r="L19" i="17" l="1"/>
  <c r="L11" i="17"/>
  <c r="L34" i="17"/>
  <c r="L27" i="17"/>
  <c r="L43" i="17"/>
  <c r="L42" i="17"/>
  <c r="L50" i="17"/>
  <c r="L33" i="17"/>
  <c r="L26" i="17"/>
  <c r="L40" i="17"/>
  <c r="L32" i="17"/>
  <c r="L16" i="17"/>
  <c r="L55" i="17"/>
  <c r="L48" i="17"/>
  <c r="L22" i="17"/>
  <c r="L14" i="17"/>
  <c r="L49" i="17"/>
  <c r="L18" i="17"/>
  <c r="L51" i="17"/>
  <c r="L35" i="17"/>
  <c r="L28" i="17"/>
  <c r="L25" i="17"/>
  <c r="L12" i="17"/>
  <c r="L30" i="17"/>
  <c r="L29" i="17"/>
  <c r="L13" i="17"/>
  <c r="L41" i="17"/>
  <c r="L20" i="17"/>
  <c r="L38" i="17"/>
  <c r="L53" i="17"/>
  <c r="L21" i="17"/>
  <c r="L52" i="17"/>
  <c r="L37" i="17"/>
  <c r="L17" i="17"/>
  <c r="L54" i="17"/>
  <c r="L31" i="17"/>
  <c r="L24" i="17"/>
  <c r="L15" i="17"/>
  <c r="L57" i="17"/>
  <c r="L45" i="17"/>
  <c r="L56" i="17"/>
  <c r="L39" i="17"/>
  <c r="L46" i="17"/>
  <c r="L47" i="17"/>
  <c r="L44" i="17"/>
  <c r="L10" i="17"/>
  <c r="I12" i="16" l="1"/>
  <c r="I12" i="15"/>
  <c r="I12" i="14"/>
  <c r="I12" i="8" l="1"/>
  <c r="I12" i="6"/>
  <c r="I12" i="5"/>
  <c r="I12" i="4"/>
  <c r="I12" i="3"/>
  <c r="AA39" i="17" l="1"/>
  <c r="AC34" i="17"/>
  <c r="AB34" i="17"/>
  <c r="AA34" i="17"/>
  <c r="AA30" i="17"/>
  <c r="AB51" i="17" l="1"/>
  <c r="AA51" i="17"/>
  <c r="AB38" i="17"/>
  <c r="AB17" i="17"/>
  <c r="AB21" i="17"/>
  <c r="AB20" i="17"/>
  <c r="AB11" i="17"/>
  <c r="AB18" i="17"/>
  <c r="AB19" i="17"/>
  <c r="AB44" i="17"/>
  <c r="AB47" i="17"/>
  <c r="AB45" i="17"/>
  <c r="AB43" i="17"/>
  <c r="AB46" i="17"/>
  <c r="AB42" i="17"/>
  <c r="AB50" i="17"/>
  <c r="AD50" i="17" l="1"/>
  <c r="AC50" i="17"/>
  <c r="AD21" i="17"/>
  <c r="AC21" i="17"/>
  <c r="AD19" i="17"/>
  <c r="AC19" i="17"/>
  <c r="AD20" i="17"/>
  <c r="AC20" i="17"/>
  <c r="AD18" i="17"/>
  <c r="AC18" i="17"/>
  <c r="AB16" i="17"/>
  <c r="AC44" i="17"/>
  <c r="AC47" i="17"/>
  <c r="AC45" i="17"/>
  <c r="AC46" i="17"/>
  <c r="AC43" i="17"/>
  <c r="AC42" i="17"/>
  <c r="AD17" i="17"/>
  <c r="AC17" i="17"/>
  <c r="AD11" i="17"/>
  <c r="AC11" i="17"/>
  <c r="AD38" i="17"/>
  <c r="AC38" i="17"/>
  <c r="AC51" i="17" l="1"/>
  <c r="AD46" i="17"/>
  <c r="AD42" i="17"/>
  <c r="AD44" i="17"/>
  <c r="AD47" i="17"/>
  <c r="AD45" i="17"/>
  <c r="AD43" i="17"/>
  <c r="AD16" i="17"/>
  <c r="AC16" i="17"/>
  <c r="AD5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García López</author>
  </authors>
  <commentList>
    <comment ref="BB49" authorId="0" shapeId="0" xr:uid="{0A5EB556-EA7F-45F0-92B1-C9FF5F1711C9}">
      <text>
        <r>
          <rPr>
            <sz val="9"/>
            <color indexed="81"/>
            <rFont val="Tahoma"/>
            <family val="2"/>
          </rPr>
          <t xml:space="preserve">El análisis cualitativo no responde a lo reportado en la parte cuantitativa del indicador, por lo que hay que ajustar el reporte.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500-000001000000}">
      <text>
        <r>
          <rPr>
            <b/>
            <sz val="9"/>
            <color indexed="81"/>
            <rFont val="MingLiU_HKSCS"/>
            <family val="1"/>
          </rPr>
          <t>Número consecutivo de acciones.</t>
        </r>
      </text>
    </comment>
    <comment ref="C11" authorId="0" shapeId="0" xr:uid="{00000000-0006-0000-0500-000002000000}">
      <text>
        <r>
          <rPr>
            <b/>
            <sz val="9"/>
            <color indexed="81"/>
            <rFont val="Tahoma"/>
            <family val="2"/>
          </rPr>
          <t>Descripción específica de las actividades a realizar en el cumplimiento de la implementación del subsistema.</t>
        </r>
      </text>
    </comment>
    <comment ref="D11" authorId="0" shapeId="0" xr:uid="{00000000-0006-0000-0500-000003000000}">
      <text>
        <r>
          <rPr>
            <b/>
            <sz val="9"/>
            <color indexed="81"/>
            <rFont val="Tahoma"/>
            <family val="2"/>
          </rPr>
          <t>Defina el área y cargo responsable de la ejecución de la actividad planteada.</t>
        </r>
      </text>
    </comment>
    <comment ref="E11" authorId="0" shapeId="0" xr:uid="{00000000-0006-0000-0500-000004000000}">
      <text>
        <r>
          <rPr>
            <b/>
            <sz val="9"/>
            <color indexed="81"/>
            <rFont val="Tahoma"/>
            <family val="2"/>
          </rPr>
          <t>Defina el indicador con el que se mide la actividad propuesta, o el producto esperado de la actividad propuesta.</t>
        </r>
      </text>
    </comment>
    <comment ref="F11" authorId="0" shapeId="0" xr:uid="{00000000-0006-0000-0500-000005000000}">
      <text>
        <r>
          <rPr>
            <b/>
            <sz val="9"/>
            <color indexed="81"/>
            <rFont val="Tahoma"/>
            <family val="2"/>
          </rPr>
          <t>Establezca la meta que se pretende alcanzar, en cumplimiento del indicador formulado.</t>
        </r>
      </text>
    </comment>
    <comment ref="I11" authorId="0" shapeId="0" xr:uid="{00000000-0006-0000-05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500-000007000000}">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600-000001000000}">
      <text>
        <r>
          <rPr>
            <b/>
            <sz val="9"/>
            <color indexed="81"/>
            <rFont val="MingLiU_HKSCS"/>
            <family val="1"/>
          </rPr>
          <t>Número consecutivo de acciones.</t>
        </r>
      </text>
    </comment>
    <comment ref="C11" authorId="0" shapeId="0" xr:uid="{00000000-0006-0000-0600-000002000000}">
      <text>
        <r>
          <rPr>
            <b/>
            <sz val="9"/>
            <color indexed="81"/>
            <rFont val="Tahoma"/>
            <family val="2"/>
          </rPr>
          <t>Descripción específica de las actividades a realizar en el cumplimiento de la implementación del subsistema.</t>
        </r>
      </text>
    </comment>
    <comment ref="D11" authorId="0" shapeId="0" xr:uid="{00000000-0006-0000-0600-000003000000}">
      <text>
        <r>
          <rPr>
            <b/>
            <sz val="9"/>
            <color indexed="81"/>
            <rFont val="Tahoma"/>
            <family val="2"/>
          </rPr>
          <t>Defina el área y cargo responsable de la ejecución de la actividad planteada.</t>
        </r>
      </text>
    </comment>
    <comment ref="E11" authorId="0" shapeId="0" xr:uid="{00000000-0006-0000-0600-000004000000}">
      <text>
        <r>
          <rPr>
            <b/>
            <sz val="9"/>
            <color indexed="81"/>
            <rFont val="Tahoma"/>
            <family val="2"/>
          </rPr>
          <t>Defina el indicador con el que se mide la actividad propuesta, o el producto esperado de la actividad propuesta.</t>
        </r>
      </text>
    </comment>
    <comment ref="F11" authorId="0" shapeId="0" xr:uid="{00000000-0006-0000-0600-000005000000}">
      <text>
        <r>
          <rPr>
            <b/>
            <sz val="9"/>
            <color indexed="81"/>
            <rFont val="Tahoma"/>
            <family val="2"/>
          </rPr>
          <t>Establezca la meta que se pretende alcanzar, en cumplimiento del indicador formulado.</t>
        </r>
      </text>
    </comment>
    <comment ref="I11" authorId="0" shapeId="0" xr:uid="{00000000-0006-0000-06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600-000007000000}">
      <text>
        <r>
          <rPr>
            <b/>
            <sz val="9"/>
            <color indexed="81"/>
            <rFont val="Tahoma"/>
            <family val="2"/>
          </rPr>
          <t>Debe corresponder al 100%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700-000001000000}">
      <text>
        <r>
          <rPr>
            <sz val="10"/>
            <color rgb="FF000000"/>
            <rFont val="Arial"/>
            <family val="2"/>
          </rPr>
          <t>Número consecutivo de acciones.</t>
        </r>
      </text>
    </comment>
    <comment ref="C11" authorId="0" shapeId="0" xr:uid="{00000000-0006-0000-0700-000002000000}">
      <text>
        <r>
          <rPr>
            <sz val="10"/>
            <color rgb="FF000000"/>
            <rFont val="Arial"/>
            <family val="2"/>
          </rPr>
          <t>Descripción específica de las actividades a realizar en el cumplimiento de la implementación del subsistema.</t>
        </r>
      </text>
    </comment>
    <comment ref="D11" authorId="0" shapeId="0" xr:uid="{00000000-0006-0000-0700-000003000000}">
      <text>
        <r>
          <rPr>
            <sz val="10"/>
            <color rgb="FF000000"/>
            <rFont val="Arial"/>
            <family val="2"/>
          </rPr>
          <t>Defina el área y cargo responsable de la ejecución de la actividad planteada.</t>
        </r>
      </text>
    </comment>
    <comment ref="E11" authorId="0" shapeId="0" xr:uid="{00000000-0006-0000-0700-000004000000}">
      <text>
        <r>
          <rPr>
            <sz val="10"/>
            <color rgb="FF000000"/>
            <rFont val="Arial"/>
            <family val="2"/>
          </rPr>
          <t>Defina el indicador con el que se mide la actividad propuesta, o el producto esperado de la actividad propuesta.</t>
        </r>
      </text>
    </comment>
    <comment ref="F11" authorId="0" shapeId="0" xr:uid="{00000000-0006-0000-0700-000005000000}">
      <text>
        <r>
          <rPr>
            <sz val="10"/>
            <color rgb="FF000000"/>
            <rFont val="Arial"/>
            <family val="2"/>
          </rPr>
          <t>Establezca la meta que se pretende alcanzar, en cumplimiento del indicador formulado.</t>
        </r>
      </text>
    </comment>
    <comment ref="I11" authorId="0" shapeId="0" xr:uid="{00000000-0006-0000-0700-000006000000}">
      <text>
        <r>
          <rPr>
            <sz val="10"/>
            <color rgb="FF000000"/>
            <rFont val="Arial"/>
            <family val="2"/>
          </rPr>
          <t xml:space="preserve">Definir ponderación de la actividad (si se requiere)
</t>
        </r>
      </text>
    </comment>
    <comment ref="I12" authorId="0" shapeId="0" xr:uid="{00000000-0006-0000-0700-000007000000}">
      <text>
        <r>
          <rPr>
            <sz val="10"/>
            <color rgb="FF000000"/>
            <rFont val="Arial"/>
            <family val="2"/>
          </rPr>
          <t xml:space="preserve">Debe corresponder al 100%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800-000001000000}">
      <text>
        <r>
          <rPr>
            <b/>
            <sz val="9"/>
            <color indexed="81"/>
            <rFont val="MingLiU_HKSCS"/>
            <family val="1"/>
          </rPr>
          <t>Número consecutivo de acciones.</t>
        </r>
      </text>
    </comment>
    <comment ref="C11" authorId="0" shapeId="0" xr:uid="{00000000-0006-0000-0800-000002000000}">
      <text>
        <r>
          <rPr>
            <b/>
            <sz val="9"/>
            <color indexed="81"/>
            <rFont val="Tahoma"/>
            <family val="2"/>
          </rPr>
          <t>Descripción específica de las actividades a realizar en el cumplimiento de la implementación del subsistema.</t>
        </r>
      </text>
    </comment>
    <comment ref="D11" authorId="0" shapeId="0" xr:uid="{00000000-0006-0000-0800-000003000000}">
      <text>
        <r>
          <rPr>
            <b/>
            <sz val="9"/>
            <color indexed="81"/>
            <rFont val="Tahoma"/>
            <family val="2"/>
          </rPr>
          <t>Defina el área y cargo responsable de la ejecución de la actividad planteada.</t>
        </r>
      </text>
    </comment>
    <comment ref="E11" authorId="0" shapeId="0" xr:uid="{00000000-0006-0000-0800-000004000000}">
      <text>
        <r>
          <rPr>
            <b/>
            <sz val="9"/>
            <color indexed="81"/>
            <rFont val="Tahoma"/>
            <family val="2"/>
          </rPr>
          <t>Defina el indicador con el que se mide la actividad propuesta, o el producto esperado de la actividad propuesta.</t>
        </r>
      </text>
    </comment>
    <comment ref="F11" authorId="0" shapeId="0" xr:uid="{00000000-0006-0000-0800-000005000000}">
      <text>
        <r>
          <rPr>
            <b/>
            <sz val="9"/>
            <color indexed="81"/>
            <rFont val="Tahoma"/>
            <family val="2"/>
          </rPr>
          <t>Establezca la meta que se pretende alcanzar, en cumplimiento del indicador formulado.</t>
        </r>
      </text>
    </comment>
    <comment ref="I11" authorId="0" shapeId="0" xr:uid="{00000000-0006-0000-08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800-000007000000}">
      <text>
        <r>
          <rPr>
            <b/>
            <sz val="9"/>
            <color indexed="81"/>
            <rFont val="Tahoma"/>
            <family val="2"/>
          </rPr>
          <t>Debe corresponder al 100%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sz val="10"/>
            <color rgb="FF000000"/>
            <rFont val="Arial"/>
            <family val="2"/>
          </rPr>
          <t>Número consecutivo de acciones.</t>
        </r>
      </text>
    </comment>
    <comment ref="C11" authorId="0" shapeId="0" xr:uid="{00000000-0006-0000-0900-000002000000}">
      <text>
        <r>
          <rPr>
            <sz val="10"/>
            <color rgb="FF000000"/>
            <rFont val="Arial"/>
            <family val="2"/>
          </rPr>
          <t>Descripción específica de las actividades a realizar en el cumplimiento de la implementación del subsistema.</t>
        </r>
      </text>
    </comment>
    <comment ref="D11" authorId="0" shapeId="0" xr:uid="{00000000-0006-0000-0900-000003000000}">
      <text>
        <r>
          <rPr>
            <sz val="10"/>
            <color rgb="FF000000"/>
            <rFont val="Arial"/>
            <family val="2"/>
          </rPr>
          <t>Defina el área y cargo responsable de la ejecución de la actividad planteada.</t>
        </r>
      </text>
    </comment>
    <comment ref="E11" authorId="0" shapeId="0" xr:uid="{00000000-0006-0000-0900-000004000000}">
      <text>
        <r>
          <rPr>
            <sz val="10"/>
            <color rgb="FF000000"/>
            <rFont val="Arial"/>
            <family val="2"/>
          </rPr>
          <t>Defina el indicador con el que se mide la actividad propuesta, o el producto esperado de la actividad propuesta.</t>
        </r>
      </text>
    </comment>
    <comment ref="F11" authorId="0" shapeId="0" xr:uid="{00000000-0006-0000-0900-000005000000}">
      <text>
        <r>
          <rPr>
            <sz val="10"/>
            <color rgb="FF000000"/>
            <rFont val="Arial"/>
            <family val="2"/>
          </rPr>
          <t>Establezca la meta que se pretende alcanzar, en cumplimiento del indicador formulado.</t>
        </r>
      </text>
    </comment>
    <comment ref="I11" authorId="0" shapeId="0" xr:uid="{00000000-0006-0000-0900-000006000000}">
      <text>
        <r>
          <rPr>
            <sz val="10"/>
            <color rgb="FF000000"/>
            <rFont val="Arial"/>
            <family val="2"/>
          </rPr>
          <t xml:space="preserve">Definir ponderación de la actividad (si se requiere)
</t>
        </r>
      </text>
    </comment>
    <comment ref="I12" authorId="0" shapeId="0" xr:uid="{00000000-0006-0000-0900-000007000000}">
      <text>
        <r>
          <rPr>
            <sz val="10"/>
            <color rgb="FF000000"/>
            <rFont val="Arial"/>
            <family val="2"/>
          </rPr>
          <t xml:space="preserve">Debe corresponder al 100%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A00-000001000000}">
      <text>
        <r>
          <rPr>
            <b/>
            <sz val="9"/>
            <color indexed="81"/>
            <rFont val="MingLiU_HKSCS"/>
            <family val="1"/>
          </rPr>
          <t>Número consecutivo de acciones.</t>
        </r>
      </text>
    </comment>
    <comment ref="C11" authorId="0" shapeId="0" xr:uid="{00000000-0006-0000-0A00-000002000000}">
      <text>
        <r>
          <rPr>
            <b/>
            <sz val="9"/>
            <color indexed="81"/>
            <rFont val="Tahoma"/>
            <family val="2"/>
          </rPr>
          <t>Descripción específica de las actividades a realizar en el cumplimiento de la implementación del subsistema.</t>
        </r>
      </text>
    </comment>
    <comment ref="D11" authorId="0" shapeId="0" xr:uid="{00000000-0006-0000-0A00-000003000000}">
      <text>
        <r>
          <rPr>
            <b/>
            <sz val="9"/>
            <color indexed="81"/>
            <rFont val="Tahoma"/>
            <family val="2"/>
          </rPr>
          <t>Defina el área y cargo responsable de la ejecución de la actividad planteada.</t>
        </r>
      </text>
    </comment>
    <comment ref="E11" authorId="0" shapeId="0" xr:uid="{00000000-0006-0000-0A00-000004000000}">
      <text>
        <r>
          <rPr>
            <b/>
            <sz val="9"/>
            <color indexed="81"/>
            <rFont val="Tahoma"/>
            <family val="2"/>
          </rPr>
          <t>Defina el indicador con el que se mide la actividad propuesta, o el producto esperado de la actividad propuesta.</t>
        </r>
      </text>
    </comment>
    <comment ref="F11" authorId="0" shapeId="0" xr:uid="{00000000-0006-0000-0A00-000005000000}">
      <text>
        <r>
          <rPr>
            <b/>
            <sz val="9"/>
            <color indexed="81"/>
            <rFont val="Tahoma"/>
            <family val="2"/>
          </rPr>
          <t>Establezca la meta que se pretende alcanzar, en cumplimiento del indicador formulado.</t>
        </r>
      </text>
    </comment>
    <comment ref="I11" authorId="0" shapeId="0" xr:uid="{00000000-0006-0000-0A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A00-000007000000}">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B00-000001000000}">
      <text>
        <r>
          <rPr>
            <b/>
            <sz val="9"/>
            <color indexed="81"/>
            <rFont val="MingLiU_HKSCS"/>
            <family val="1"/>
          </rPr>
          <t>Número consecutivo de acciones.</t>
        </r>
      </text>
    </comment>
    <comment ref="C11" authorId="0" shapeId="0" xr:uid="{00000000-0006-0000-0B00-000002000000}">
      <text>
        <r>
          <rPr>
            <b/>
            <sz val="9"/>
            <color indexed="81"/>
            <rFont val="Tahoma"/>
            <family val="2"/>
          </rPr>
          <t>Descripción específica de las actividades a realizar en el cumplimiento de la implementación del subsistema.</t>
        </r>
      </text>
    </comment>
    <comment ref="D11" authorId="0" shapeId="0" xr:uid="{00000000-0006-0000-0B00-000003000000}">
      <text>
        <r>
          <rPr>
            <b/>
            <sz val="9"/>
            <color indexed="81"/>
            <rFont val="Tahoma"/>
            <family val="2"/>
          </rPr>
          <t>Defina el área y cargo responsable de la ejecución de la actividad planteada.</t>
        </r>
      </text>
    </comment>
    <comment ref="E11" authorId="0" shapeId="0" xr:uid="{00000000-0006-0000-0B00-000004000000}">
      <text>
        <r>
          <rPr>
            <b/>
            <sz val="9"/>
            <color indexed="81"/>
            <rFont val="Tahoma"/>
            <family val="2"/>
          </rPr>
          <t>Defina el indicador con el que se mide la actividad propuesta, o el producto esperado de la actividad propuesta.</t>
        </r>
      </text>
    </comment>
    <comment ref="F11" authorId="0" shapeId="0" xr:uid="{00000000-0006-0000-0B00-000005000000}">
      <text>
        <r>
          <rPr>
            <b/>
            <sz val="9"/>
            <color indexed="81"/>
            <rFont val="Tahoma"/>
            <family val="2"/>
          </rPr>
          <t>Establezca la meta que se pretende alcanzar, en cumplimiento del indicador formulado.</t>
        </r>
      </text>
    </comment>
    <comment ref="I11" authorId="0" shapeId="0" xr:uid="{00000000-0006-0000-0B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B00-000007000000}">
      <text>
        <r>
          <rPr>
            <b/>
            <sz val="9"/>
            <color indexed="81"/>
            <rFont val="Tahoma"/>
            <family val="2"/>
          </rPr>
          <t>Debe corresponder al 100%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C00-000001000000}">
      <text>
        <r>
          <rPr>
            <b/>
            <sz val="9"/>
            <color indexed="81"/>
            <rFont val="MingLiU_HKSCS"/>
            <family val="1"/>
          </rPr>
          <t>Número consecutivo de acciones.</t>
        </r>
      </text>
    </comment>
    <comment ref="C11" authorId="0" shapeId="0" xr:uid="{00000000-0006-0000-0C00-000002000000}">
      <text>
        <r>
          <rPr>
            <b/>
            <sz val="9"/>
            <color indexed="81"/>
            <rFont val="Tahoma"/>
            <family val="2"/>
          </rPr>
          <t>Descripción específica de las actividades a realizar en el cumplimiento de la implementación del subsistema.</t>
        </r>
      </text>
    </comment>
    <comment ref="D11" authorId="0" shapeId="0" xr:uid="{00000000-0006-0000-0C00-000003000000}">
      <text>
        <r>
          <rPr>
            <b/>
            <sz val="9"/>
            <color indexed="81"/>
            <rFont val="Tahoma"/>
            <family val="2"/>
          </rPr>
          <t>Defina el área y cargo responsable de la ejecución de la actividad planteada.</t>
        </r>
      </text>
    </comment>
    <comment ref="E11" authorId="0" shapeId="0" xr:uid="{00000000-0006-0000-0C00-000004000000}">
      <text>
        <r>
          <rPr>
            <b/>
            <sz val="9"/>
            <color indexed="81"/>
            <rFont val="Tahoma"/>
            <family val="2"/>
          </rPr>
          <t>Defina el indicador con el que se mide la actividad propuesta, o el producto esperado de la actividad propuesta.</t>
        </r>
      </text>
    </comment>
    <comment ref="F11" authorId="0" shapeId="0" xr:uid="{00000000-0006-0000-0C00-000005000000}">
      <text>
        <r>
          <rPr>
            <b/>
            <sz val="9"/>
            <color indexed="81"/>
            <rFont val="Tahoma"/>
            <family val="2"/>
          </rPr>
          <t>Establezca la meta que se pretende alcanzar, en cumplimiento del indicador formulado.</t>
        </r>
      </text>
    </comment>
    <comment ref="I11" authorId="0" shapeId="0" xr:uid="{00000000-0006-0000-0C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C00-000007000000}">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<sst xmlns="http://schemas.openxmlformats.org/spreadsheetml/2006/main" count="2643" uniqueCount="1439">
  <si>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</si>
  <si>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</si>
  <si>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</si>
  <si>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</si>
  <si>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</si>
  <si>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</si>
  <si>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</si>
  <si>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</si>
  <si>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</si>
  <si>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</si>
  <si>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</si>
  <si>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</si>
  <si>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</si>
  <si>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</si>
  <si>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</si>
  <si>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</si>
  <si>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</si>
  <si>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</si>
  <si>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</si>
  <si>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</si>
  <si>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</si>
  <si>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</si>
  <si>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</si>
  <si>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</si>
  <si>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</si>
  <si>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</si>
  <si>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</si>
  <si>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</si>
  <si>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</si>
  <si>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</si>
  <si>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</si>
  <si>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</si>
  <si>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</si>
  <si>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</si>
  <si>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</si>
  <si>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</si>
  <si>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</si>
  <si>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</si>
  <si>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</si>
  <si>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</si>
  <si>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</si>
  <si>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</si>
  <si>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</si>
  <si>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</si>
  <si>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</si>
  <si>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</si>
  <si>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</si>
  <si>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</si>
  <si>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</si>
  <si>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</si>
  <si>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</si>
  <si>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</si>
  <si>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Número de lecciones aprendidas consolidadas.</t>
  </si>
  <si>
    <t>Medir la cantidad de lecciones aprendidas que se consolidan en la herramienta.</t>
  </si>
  <si>
    <t>1. Definición de los proyectos a los cuales se les documentará lecciones aprendidas. (15%)
2. Elaboración de los documentos de lecciones aprendidas. (60%)
3. Presentación de resultados. (25%)</t>
  </si>
  <si>
    <t>Documento escrito del plan de Institucional de Capacitación</t>
  </si>
  <si>
    <t>Realizar el seguimiento al cumplimiento de las acciones definidas en el Plan Institucional de Capacitación de la vigencia 2021.</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</si>
  <si>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</si>
  <si>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</si>
  <si>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</si>
  <si>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</si>
  <si>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</si>
  <si>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</si>
  <si>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</si>
  <si>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</si>
  <si>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</si>
  <si>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</si>
  <si>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</si>
  <si>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</si>
  <si>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</si>
  <si>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</si>
  <si>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</si>
  <si>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</si>
  <si>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</si>
  <si>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</si>
  <si>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</si>
  <si>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</si>
  <si>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</si>
  <si>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</si>
  <si>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</si>
  <si>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</si>
  <si>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</si>
  <si>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</si>
  <si>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</si>
  <si>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</si>
  <si>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</si>
  <si>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</si>
  <si>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 xml:space="preserve">Plan Anual de Adquisiciones actualizado en SECOP II. </t>
  </si>
  <si>
    <t xml:space="preserve">Porcentaje de cumplimiento del Plan Anual de Adquisiciones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</si>
  <si>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</si>
  <si>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</si>
  <si>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</si>
  <si>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</si>
  <si>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</si>
  <si>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</si>
  <si>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</si>
  <si>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</si>
  <si>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</si>
  <si>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</si>
  <si>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</si>
  <si>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</si>
  <si>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</si>
  <si>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</si>
  <si>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</si>
  <si>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</si>
  <si>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</si>
  <si>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</si>
  <si>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</si>
  <si>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</si>
  <si>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</si>
  <si>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</si>
  <si>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</si>
  <si>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</si>
  <si>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</si>
  <si>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</si>
  <si>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</si>
  <si>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</si>
  <si>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</si>
  <si>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</si>
  <si>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</si>
  <si>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</si>
  <si>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</si>
  <si>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</si>
  <si>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</si>
  <si>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</si>
  <si>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</si>
  <si>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</si>
  <si>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</si>
  <si>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</si>
  <si>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</si>
  <si>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</si>
  <si>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</si>
  <si>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</si>
  <si>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</si>
  <si>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</si>
  <si>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</si>
  <si>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Informe semestral sobre las acciones realizadas</t>
  </si>
  <si>
    <t>Descripción de los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</si>
  <si>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</si>
  <si>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</si>
  <si>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</si>
  <si>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</si>
  <si>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</si>
  <si>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</si>
  <si>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</si>
  <si>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</si>
  <si>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</si>
  <si>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</si>
  <si>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</si>
  <si>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</si>
  <si>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</si>
  <si>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</si>
  <si>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</si>
  <si>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</si>
  <si>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</si>
  <si>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</si>
  <si>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</si>
  <si>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</si>
  <si>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</si>
  <si>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</si>
  <si>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</si>
  <si>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</si>
  <si>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</si>
  <si>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</si>
  <si>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</si>
  <si>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</si>
  <si>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</si>
  <si>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</si>
  <si>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1. Diseño de proyecto
2. Contratación de recursos para desarrollo del proyecto
3. Producción del proyecto
4. Circulación del proyecto</t>
  </si>
  <si>
    <t>Proyecto audiovisual de cocreación de contenidos con la ciudadanía (interacción y relacionamiento).</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</si>
  <si>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</si>
  <si>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</si>
  <si>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</si>
  <si>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</si>
  <si>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</si>
  <si>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</si>
  <si>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</si>
  <si>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</si>
  <si>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Líder de proyectos estratégicos</t>
  </si>
  <si>
    <t>Estrategia para la generación de ingresos a través del diseño y desarrollo de proyectos de comunicación pública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</si>
  <si>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</si>
  <si>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</si>
  <si>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</si>
  <si>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</si>
  <si>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</si>
  <si>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</si>
  <si>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</si>
  <si>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</si>
  <si>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</si>
  <si>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</si>
  <si>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</si>
  <si>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</si>
  <si>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</si>
  <si>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</si>
  <si>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</si>
  <si>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</si>
  <si>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</si>
  <si>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</si>
  <si>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</si>
  <si>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</si>
  <si>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</si>
  <si>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</si>
  <si>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</si>
  <si>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</si>
  <si>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</si>
  <si>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</si>
  <si>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</si>
  <si>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</si>
  <si>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</si>
  <si>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</si>
  <si>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</si>
  <si>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</si>
  <si>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</si>
  <si>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</si>
  <si>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</si>
  <si>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</si>
  <si>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</si>
  <si>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</si>
  <si>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</si>
  <si>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</si>
  <si>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</si>
  <si>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</si>
  <si>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</si>
  <si>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</si>
  <si>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</si>
  <si>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</si>
  <si>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</si>
  <si>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</si>
  <si>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</si>
  <si>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Modernización tecnológica de Canal Capital a través de la compra de equipos móviles.</t>
  </si>
  <si>
    <t>Modernización de los equipos móviles de Canal Capital.</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</si>
  <si>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</si>
  <si>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</si>
  <si>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</si>
  <si>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</si>
  <si>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</si>
  <si>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</si>
  <si>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</si>
  <si>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</si>
  <si>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</si>
  <si>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</si>
  <si>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</si>
  <si>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</si>
  <si>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</si>
  <si>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</si>
  <si>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</si>
  <si>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</si>
  <si>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</si>
  <si>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</si>
  <si>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</si>
  <si>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</si>
  <si>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</si>
  <si>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</si>
  <si>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</si>
  <si>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</si>
  <si>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</si>
  <si>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</si>
  <si>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</si>
  <si>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</si>
  <si>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</si>
  <si>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Realizar seguimiento al cumplimiento de las acciones definidas en el Plan Estratégico de Recursos Humanos de la vigencia 2021.</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</si>
  <si>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</si>
  <si>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</si>
  <si>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</si>
  <si>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</si>
  <si>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</si>
  <si>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</si>
  <si>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</si>
  <si>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Realizar el seguimiento al cumplimiento de las acciones definidas en el Plan de Bienestar e incentivos de la vigencia 2021.</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</si>
  <si>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</si>
  <si>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</si>
  <si>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</si>
  <si>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</si>
  <si>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Realizar el seguimiento al cumplimiento de las acciones definidas en el Plan de Seguridad y Salud en el trabajo de la vigencia 2021.</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</si>
  <si>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</si>
  <si>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</si>
  <si>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</si>
  <si>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</si>
  <si>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</si>
  <si>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</si>
  <si>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</si>
  <si>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Realizar el seguimiento al cumplimiento de las acciones definidas en el Plan de integridad de la vigencia 2021.</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</si>
  <si>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</si>
  <si>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</si>
  <si>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</si>
  <si>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</si>
  <si>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</si>
  <si>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</si>
  <si>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</si>
  <si>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</si>
  <si>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</si>
  <si>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</si>
  <si>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</si>
  <si>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</si>
  <si>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</si>
  <si>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</si>
  <si>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</si>
  <si>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</si>
  <si>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</si>
  <si>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</si>
  <si>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</si>
  <si>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</si>
  <si>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</si>
  <si>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</si>
  <si>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</si>
  <si>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</si>
  <si>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</si>
  <si>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</si>
  <si>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</si>
  <si>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</si>
  <si>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</si>
  <si>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</si>
  <si>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</si>
  <si>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</si>
  <si>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</si>
  <si>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</si>
  <si>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</si>
  <si>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</si>
  <si>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</si>
  <si>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</si>
  <si>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</si>
  <si>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</si>
  <si>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Karen Paola Cruz Triana - Profesional universitaria de Jurídica</t>
  </si>
  <si>
    <t>Defensa jurídica.</t>
  </si>
  <si>
    <t>Fortalecimiento de la defensa jurídica</t>
  </si>
  <si>
    <t>Elaboración y actualización, de ser necesario, de la política de prevención de daño jurídico</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</si>
  <si>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</si>
  <si>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</si>
  <si>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</si>
  <si>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</si>
  <si>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</si>
  <si>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</si>
  <si>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</si>
  <si>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</si>
  <si>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</si>
  <si>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</si>
  <si>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</si>
  <si>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</si>
  <si>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</si>
  <si>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</si>
  <si>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</si>
  <si>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</si>
  <si>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</si>
  <si>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</si>
  <si>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</si>
  <si>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</si>
  <si>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</si>
  <si>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</si>
  <si>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</si>
  <si>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</si>
  <si>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</si>
  <si>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</si>
  <si>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</si>
  <si>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</si>
  <si>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</si>
  <si>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</si>
  <si>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</si>
  <si>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</si>
  <si>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</si>
  <si>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</si>
  <si>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</si>
  <si>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</si>
  <si>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</si>
  <si>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</si>
  <si>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</si>
  <si>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</si>
  <si>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</si>
  <si>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</si>
  <si>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</si>
  <si>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</si>
  <si>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</si>
  <si>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</si>
  <si>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</si>
  <si>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</si>
  <si>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</si>
  <si>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</si>
  <si>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</si>
  <si>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</si>
  <si>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</si>
  <si>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</si>
  <si>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</si>
  <si>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</si>
  <si>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</si>
  <si>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</si>
  <si>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</si>
  <si>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</si>
  <si>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</si>
  <si>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</si>
  <si>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</si>
  <si>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</si>
  <si>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</si>
  <si>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</si>
  <si>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</si>
  <si>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</si>
  <si>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</si>
  <si>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</si>
  <si>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</si>
  <si>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</si>
  <si>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</si>
  <si>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</si>
  <si>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</si>
  <si>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</si>
  <si>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</si>
  <si>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</si>
  <si>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</si>
  <si>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</si>
  <si>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</si>
  <si>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</si>
  <si>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</si>
  <si>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</si>
  <si>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</si>
  <si>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</si>
  <si>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</si>
  <si>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</si>
  <si>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</si>
  <si>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</si>
  <si>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</si>
  <si>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</si>
  <si>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</si>
  <si>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</si>
  <si>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</si>
  <si>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</si>
  <si>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</si>
  <si>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</si>
  <si>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</si>
  <si>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</si>
  <si>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</si>
  <si>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</si>
  <si>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</si>
  <si>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</si>
  <si>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</si>
  <si>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</si>
  <si>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</si>
  <si>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</si>
  <si>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</si>
  <si>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</si>
  <si>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</si>
  <si>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</si>
  <si>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</si>
  <si>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</si>
  <si>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</si>
  <si>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</si>
  <si>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</si>
  <si>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</si>
  <si>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</si>
  <si>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</si>
  <si>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</si>
  <si>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</si>
  <si>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</si>
  <si>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</si>
  <si>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</si>
  <si>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</si>
  <si>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</si>
  <si>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</si>
  <si>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</si>
  <si>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</si>
  <si>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</si>
  <si>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</si>
  <si>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</si>
  <si>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</si>
  <si>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</si>
  <si>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</si>
  <si>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</si>
  <si>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</si>
  <si>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</si>
  <si>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</si>
  <si>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</si>
  <si>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</si>
  <si>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</si>
  <si>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</si>
  <si>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</si>
  <si>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</si>
  <si>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</si>
  <si>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</si>
  <si>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</si>
  <si>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</si>
  <si>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</si>
  <si>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</si>
  <si>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</si>
  <si>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</si>
  <si>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</si>
  <si>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</si>
  <si>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</si>
  <si>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</si>
  <si>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</si>
  <si>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</si>
  <si>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</si>
  <si>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</si>
  <si>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</si>
  <si>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</si>
  <si>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</si>
  <si>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</si>
  <si>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</si>
  <si>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</si>
  <si>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</si>
  <si>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</si>
  <si>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</si>
  <si>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</si>
  <si>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</si>
  <si>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</si>
  <si>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</si>
  <si>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</si>
  <si>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</si>
  <si>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</si>
  <si>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</si>
  <si>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</si>
  <si>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</si>
  <si>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</si>
  <si>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</si>
  <si>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</si>
  <si>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</si>
  <si>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</si>
  <si>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</si>
  <si>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</si>
  <si>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</si>
  <si>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</si>
  <si>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</si>
  <si>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</si>
  <si>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</si>
  <si>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</si>
  <si>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</si>
  <si>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</si>
  <si>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</si>
  <si>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</si>
  <si>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</si>
  <si>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</si>
  <si>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</si>
  <si>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</si>
  <si>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</si>
  <si>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</si>
  <si>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</si>
  <si>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</si>
  <si>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</si>
  <si>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</si>
  <si>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</si>
  <si>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</si>
  <si>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</si>
  <si>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</si>
  <si>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</si>
  <si>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</si>
  <si>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</si>
  <si>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Líder del equipo digital</t>
  </si>
  <si>
    <t>Consolidar mecanismos o buenas prácticas que faciliten y potencialicen el uso de la redes sociales como un elementos de interacción con la ciudadanía</t>
  </si>
  <si>
    <t xml:space="preserve">Este indicador esta asociado a la  determinación y consolidación de las buenas prácticas aplicables en Capital para fortalecer el relacionamiento con las audiencias haciendo uso de herramientas digitales </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</si>
  <si>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</si>
  <si>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Fortalecimiento de la infraestructura física e interoperabilidad de Capital para la mejora de la gestión institucional.</t>
  </si>
  <si>
    <t>Lograr la optimización de los recursos anuales, alcanzando como mínimo un punto de equilibrio entre el ingreso y gasto</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</si>
  <si>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</si>
  <si>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</si>
  <si>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</si>
  <si>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</si>
  <si>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</si>
  <si>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</si>
  <si>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</si>
  <si>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</si>
  <si>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</si>
  <si>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</si>
  <si>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</si>
  <si>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</si>
  <si>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</si>
  <si>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</si>
  <si>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</si>
  <si>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</si>
  <si>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</si>
  <si>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</si>
  <si>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</si>
  <si>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</si>
  <si>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</si>
  <si>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</si>
  <si>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</si>
  <si>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</si>
  <si>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</si>
  <si>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</si>
  <si>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</si>
  <si>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</si>
  <si>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</si>
  <si>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</si>
  <si>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</si>
  <si>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</si>
  <si>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</si>
  <si>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</si>
  <si>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</si>
  <si>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</si>
  <si>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</si>
  <si>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</si>
  <si>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</si>
  <si>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</si>
  <si>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</si>
  <si>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</si>
  <si>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</si>
  <si>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</si>
  <si>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</si>
  <si>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</si>
  <si>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</si>
  <si>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</si>
  <si>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</si>
  <si>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</si>
  <si>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</si>
  <si>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</si>
  <si>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</si>
  <si>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</si>
  <si>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</si>
  <si>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</si>
  <si>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</si>
  <si>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</si>
  <si>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</si>
  <si>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</si>
  <si>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</si>
  <si>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</si>
  <si>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</si>
  <si>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</si>
  <si>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</si>
  <si>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</si>
  <si>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</si>
  <si>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</si>
  <si>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</si>
  <si>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</si>
  <si>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</si>
  <si>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</si>
  <si>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</si>
  <si>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</si>
  <si>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</si>
  <si>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</si>
  <si>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</si>
  <si>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</si>
  <si>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</si>
  <si>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</si>
  <si>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</si>
  <si>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</si>
  <si>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</si>
  <si>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</si>
  <si>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</si>
  <si>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</si>
  <si>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</si>
  <si>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</si>
  <si>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</si>
  <si>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</si>
  <si>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</si>
  <si>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</si>
  <si>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</si>
  <si>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</si>
  <si>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</si>
  <si>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</si>
  <si>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</si>
  <si>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</si>
  <si>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</si>
  <si>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</si>
  <si>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</si>
  <si>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</si>
  <si>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</si>
  <si>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</si>
  <si>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</si>
  <si>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</si>
  <si>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</si>
  <si>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</si>
  <si>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</si>
  <si>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</si>
  <si>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</si>
  <si>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</si>
  <si>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</si>
  <si>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</si>
  <si>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</si>
  <si>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</si>
  <si>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</si>
  <si>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</si>
  <si>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</si>
  <si>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</si>
  <si>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</si>
  <si>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</si>
  <si>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</si>
  <si>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</si>
  <si>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</si>
  <si>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</si>
  <si>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</si>
  <si>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</si>
  <si>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</si>
  <si>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</si>
  <si>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</si>
  <si>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</si>
  <si>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</si>
  <si>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</si>
  <si>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</si>
  <si>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</si>
  <si>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</si>
  <si>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</si>
  <si>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 1</t>
  </si>
  <si>
    <t>≥ 0</t>
  </si>
  <si>
    <t>1.  Comparar el ingreso frente al gasto de recursos propios y generar alertas.</t>
  </si>
  <si>
    <t xml:space="preserve">4. Elaborar los estados contables mensuales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</si>
  <si>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</si>
  <si>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</si>
  <si>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</si>
  <si>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</si>
  <si>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</si>
  <si>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</si>
  <si>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</si>
  <si>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</si>
  <si>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</si>
  <si>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</si>
  <si>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</si>
  <si>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</si>
  <si>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</si>
  <si>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</si>
  <si>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Fortalecer y mejorar la atención que se brinda al ciudadano, garantizando la calidad del servicio que presta la entidad.</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</si>
  <si>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</si>
  <si>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</si>
  <si>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</si>
  <si>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</si>
  <si>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</si>
  <si>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</si>
  <si>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</si>
  <si>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</si>
  <si>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</si>
  <si>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</si>
  <si>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</si>
  <si>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</si>
  <si>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</si>
  <si>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</si>
  <si>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</si>
  <si>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</si>
  <si>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</si>
  <si>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</si>
  <si>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</si>
  <si>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</si>
  <si>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</si>
  <si>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</si>
  <si>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</si>
  <si>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</si>
  <si>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</si>
  <si>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</si>
  <si>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</si>
  <si>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</si>
  <si>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</si>
  <si>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</si>
  <si>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</si>
  <si>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</si>
  <si>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</si>
  <si>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</si>
  <si>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</si>
  <si>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</si>
  <si>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</si>
  <si>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</si>
  <si>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</si>
  <si>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</si>
  <si>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</si>
  <si>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</si>
  <si>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</si>
  <si>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</si>
  <si>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</si>
  <si>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</si>
  <si>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</si>
  <si>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</si>
  <si>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</si>
  <si>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</si>
  <si>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</si>
  <si>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</si>
  <si>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</si>
  <si>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</si>
  <si>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</si>
  <si>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</si>
  <si>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</si>
  <si>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</si>
  <si>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</si>
  <si>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</si>
  <si>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</si>
  <si>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</si>
  <si>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</si>
  <si>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</si>
  <si>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</si>
  <si>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</si>
  <si>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</si>
  <si>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</si>
  <si>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</si>
  <si>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</si>
  <si>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</si>
  <si>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</si>
  <si>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</si>
  <si>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</si>
  <si>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</si>
  <si>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</si>
  <si>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</si>
  <si>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</si>
  <si>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</si>
  <si>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</si>
  <si>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</si>
  <si>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</si>
  <si>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</si>
  <si>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</si>
  <si>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</si>
  <si>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</si>
  <si>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</si>
  <si>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</si>
  <si>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</si>
  <si>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</si>
  <si>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</si>
  <si>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</si>
  <si>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</si>
  <si>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</si>
  <si>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</si>
  <si>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</si>
  <si>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</si>
  <si>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</si>
  <si>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</si>
  <si>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</si>
  <si>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</si>
  <si>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</si>
  <si>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</si>
  <si>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</si>
  <si>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</si>
  <si>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</si>
  <si>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</si>
  <si>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</si>
  <si>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</si>
  <si>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</si>
  <si>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</si>
  <si>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</si>
  <si>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</si>
  <si>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4.1.1</t>
  </si>
  <si>
    <t>4.1.2</t>
  </si>
  <si>
    <t>3.1.1</t>
  </si>
  <si>
    <t>3.1.2</t>
  </si>
  <si>
    <t>5.4.1</t>
  </si>
  <si>
    <t>5.5.1</t>
  </si>
  <si>
    <t>5.5.2</t>
  </si>
  <si>
    <t>5.5.3</t>
  </si>
  <si>
    <t>3.2.1</t>
  </si>
  <si>
    <t>5.6.1</t>
  </si>
  <si>
    <t>5.6.2</t>
  </si>
  <si>
    <t>5.6.3</t>
  </si>
  <si>
    <t>5.6.4</t>
  </si>
  <si>
    <t>5.7.1</t>
  </si>
  <si>
    <t>5.8.1</t>
  </si>
  <si>
    <t>5.8.2</t>
  </si>
  <si>
    <t>5.8.3</t>
  </si>
  <si>
    <t>5.8.4</t>
  </si>
  <si>
    <t>5.8.5</t>
  </si>
  <si>
    <t>5.8.6</t>
  </si>
  <si>
    <t>5.9.1</t>
  </si>
  <si>
    <t>5.9.2</t>
  </si>
  <si>
    <t>5.10.1</t>
  </si>
  <si>
    <t>5.11.1</t>
  </si>
  <si>
    <t>5.12.1</t>
  </si>
  <si>
    <t>5.13.1</t>
  </si>
  <si>
    <t>5.13.2</t>
  </si>
  <si>
    <t>5.14.1</t>
  </si>
  <si>
    <t>5.14.2</t>
  </si>
  <si>
    <t>5.14.3</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</si>
  <si>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</si>
  <si>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</si>
  <si>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</si>
  <si>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</si>
  <si>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</si>
  <si>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</si>
  <si>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</si>
  <si>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</si>
  <si>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</si>
  <si>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</si>
  <si>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</si>
  <si>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</si>
  <si>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</si>
  <si>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</si>
  <si>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</si>
  <si>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</si>
  <si>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</si>
  <si>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</si>
  <si>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</si>
  <si>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</si>
  <si>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</si>
  <si>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Lecciones aprendidas documentadas</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</si>
  <si>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</si>
  <si>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</si>
  <si>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</si>
  <si>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Número de informes y/o reportes ejecutados oportunamente</t>
  </si>
  <si>
    <t>Total de compromisos adquiridos</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</si>
  <si>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</si>
  <si>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</si>
  <si>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</si>
  <si>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</si>
  <si>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</si>
  <si>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</si>
  <si>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</si>
  <si>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Presupuesto total para la producción de contenidos propios recursos hacienda y FuTic plan de inversión</t>
  </si>
  <si>
    <t>meta anual de proyectos audiovisuales que incluyen la participación activa de la ciudadanía</t>
  </si>
  <si>
    <t>Porcentaje de avance en la ejecución del proyecto</t>
  </si>
  <si>
    <t>Porcentaje de avance en la elaboración del documento de estándares</t>
  </si>
  <si>
    <t>100% estándar documentado</t>
  </si>
  <si>
    <t>Número de Intervenciones Programadas.</t>
  </si>
  <si>
    <t>Número de intervenciones realizadas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</si>
  <si>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</si>
  <si>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</si>
  <si>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</si>
  <si>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</si>
  <si>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</si>
  <si>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</si>
  <si>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</si>
  <si>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</si>
  <si>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</si>
  <si>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</si>
  <si>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</si>
  <si>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</si>
  <si>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</si>
  <si>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</si>
  <si>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</si>
  <si>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</si>
  <si>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</si>
  <si>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</si>
  <si>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</si>
  <si>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</si>
  <si>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</si>
  <si>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</si>
  <si>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</si>
  <si>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</si>
  <si>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</si>
  <si>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</si>
  <si>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</si>
  <si>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</si>
  <si>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</si>
  <si>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</si>
  <si>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</si>
  <si>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</si>
  <si>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</si>
  <si>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</si>
  <si>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</si>
  <si>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</si>
  <si>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Numerador</t>
  </si>
  <si>
    <t>Denominador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</si>
  <si>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</si>
  <si>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</si>
  <si>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</si>
  <si>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</si>
  <si>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 xml:space="preserve">Como quiera que el desarrollo del software es producto del trabajo conjunto entre el subdirector financiero y el profesional universitario de Sistemas, la entidad no contempla erogación alguna para el mismo. </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</si>
  <si>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</si>
  <si>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</si>
  <si>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</si>
  <si>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</si>
  <si>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</si>
  <si>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Continuidad en la prestación del servicio</t>
  </si>
  <si>
    <t>Garantizar continuidad en la prestación del servicio superior al 90%</t>
  </si>
  <si>
    <t>Técnica</t>
  </si>
  <si>
    <t>∑(Tiempo en minutos de falla de la seña del periodo reportado)</t>
  </si>
  <si>
    <t>∑(tiempo en minutos de la señal programa total)</t>
  </si>
  <si>
    <t>Cumplimiento del avance en las actividades de gestión definidas.</t>
  </si>
  <si>
    <t>100% - (∑(Tiempo en minutos de falla de la seña del periodo reportado)/∑(tiempo en minutos de la señal programa total)*100%)</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</si>
  <si>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</si>
  <si>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</si>
  <si>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</si>
  <si>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</si>
  <si>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Ejecución Presupuestal</t>
  </si>
  <si>
    <t>Optimización de recursos</t>
  </si>
  <si>
    <t>Ordenes de pago tramitadas y pagadas dentro del periodo correspondiente.</t>
  </si>
  <si>
    <t>Flujo de caja.</t>
  </si>
  <si>
    <t>Estados Contables mensuales</t>
  </si>
  <si>
    <t>Informe de cartera y soporte de envío de facturas.</t>
  </si>
  <si>
    <t>Piezas comunicativas sobre los diferentes productos que genera la subdirección financiera (Estados financieros, tips de facturación, estado de ingresos y gastos)</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</si>
  <si>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</si>
  <si>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</si>
  <si>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</si>
  <si>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</si>
  <si>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</si>
  <si>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</si>
  <si>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</si>
  <si>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</si>
  <si>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(Recursos ejecutados del Plan Anual de Adquisiciones - PAA de la vigencia 2021 / Total de recursos programados en el Plan Anual de Adquisiciones - PAA para la vigencia 2021)*100%.</t>
  </si>
  <si>
    <t>Recursos ejecutados del Plan Anual de Adquisiciones - PAA de la vigencia 2021</t>
  </si>
  <si>
    <t>Total de recursos programados en el Plan Anual de Adquisiciones - PAA para la vigencia 2021</t>
  </si>
  <si>
    <t>Porcentaje de avance ejecutado en el mes</t>
  </si>
  <si>
    <t>Porcentaje programado de avance para el mes</t>
  </si>
  <si>
    <t>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t>
  </si>
  <si>
    <t>REPORTE 2021</t>
  </si>
  <si>
    <t xml:space="preserve">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
  </si>
  <si>
    <t>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t>
  </si>
  <si>
    <t xml:space="preserve">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
  </si>
  <si>
    <t>Promedio de horas de contenido infantil emitidas en el trimestre+ promedio de horas de contenido para adolescente emitidas en el trimestre</t>
  </si>
  <si>
    <t>Promedio de horas totales emitidos en el trimestre</t>
  </si>
  <si>
    <t>1.2.2</t>
  </si>
  <si>
    <t>20% al 30%</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</si>
  <si>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</si>
  <si>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</si>
  <si>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Registro de la continuidad del servicio en términos de  porcentaje vs las fallas que se presentan durante el periodo de medición</t>
  </si>
  <si>
    <t>MECN-FT-048 Registro Monitoreo Señal Fuera del Aire</t>
  </si>
  <si>
    <t>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t>
  </si>
  <si>
    <t>Teniendo en cuenta que se adelantan reuniones de seguimiento a las actividades formuladas de manera semanal al interior del equipo de la Oficina de Control Interno se logró cumplir con lo programado en el Plan Anual de Auditoría para el primer trimestre de la vigencia 2021.</t>
  </si>
  <si>
    <t>Dada la periodicidad cuatrimestral de medición, no aplica reporte de seguimiento con corte al 31 de marzo.</t>
  </si>
  <si>
    <t>Número de acciones cumplidas con fecha vencida del Plan de Mejoramiento por procesos a la fecha de corte</t>
  </si>
  <si>
    <t>Número de acciones vencidas con estado abierto del Plan de Mejoramiento por procesos a la fecha de corte</t>
  </si>
  <si>
    <t>Avances en el cumplimiento de las acciones programadas en el Plan Anticorrupción y de Atención al Ciudadano - PAAC</t>
  </si>
  <si>
    <t>Total de acciones programadas en el Plan Anticorrupción y de Atención al Ciudadano - PAAC</t>
  </si>
  <si>
    <t>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t>
  </si>
  <si>
    <t>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t>
  </si>
  <si>
    <t>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t>
  </si>
  <si>
    <t>En el primer trimestre de la presente vigencia no se ha realizado ninguna acción que permita avanzar en las actividades propuestas.</t>
  </si>
  <si>
    <t>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</si>
  <si>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Se realizaron 6 capacitaciones que no estaban contempladas en el cronograma del PIC.</t>
  </si>
  <si>
    <t>Se realizaron las actividades programadas para el trimestre.</t>
  </si>
  <si>
    <t>Se tuvo dos demostraciones con dos proveedores de software de inventarios.</t>
  </si>
  <si>
    <t>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t>
  </si>
  <si>
    <t>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t>
  </si>
  <si>
    <t>De las cuatro actividades planteadas para el 2021, se tiene al 80% la del proceso de reclutamiento y selección. Esta en proceso el contrato para la aplicación de pruebas.</t>
  </si>
  <si>
    <t>Se realizaron las actividades programadas en el cronograma de plan de bienestar.</t>
  </si>
  <si>
    <t>No reporta análisis de resultados para el seguimiento del período.</t>
  </si>
  <si>
    <t xml:space="preserve">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
  </si>
  <si>
    <t>Para el primer trimestre 2021, encontramos una disponibilidad de recursos de $7,842 millones de pesos. Esto obedece a que a la fecha no se ha realizado el pago total de  cuentas por pagar a Diciembre 31 de 2020 y en inicio de vigencia los pagos de vigencia 2021 son bajos.</t>
  </si>
  <si>
    <t xml:space="preserve">Para el periodo reportado se han realizado actividades de levantamiento de información funcional, análisis de la misma y se encuentra en proceso de diseño del módulo componente de software de financiera. </t>
  </si>
  <si>
    <t>ESTADO</t>
  </si>
  <si>
    <t>Aceptable</t>
  </si>
  <si>
    <t>Satisfactorio</t>
  </si>
  <si>
    <t>Muy satisfactorio</t>
  </si>
  <si>
    <t>60% - 90%</t>
  </si>
  <si>
    <t>30% - 60%</t>
  </si>
  <si>
    <t>&gt; 90%</t>
  </si>
  <si>
    <t>Total</t>
  </si>
  <si>
    <r>
      <rPr>
        <b/>
        <sz val="10"/>
        <color theme="1"/>
        <rFont val="Arial"/>
        <family val="2"/>
      </rPr>
      <t>Secretaría General</t>
    </r>
    <r>
      <rPr>
        <sz val="10"/>
        <color theme="1"/>
        <rFont val="Arial"/>
        <family val="2"/>
      </rPr>
      <t xml:space="preserve">
(Coordinación Jurídica y Atención Al Ciudadano)</t>
    </r>
  </si>
  <si>
    <r>
      <rPr>
        <b/>
        <sz val="10"/>
        <color theme="1"/>
        <rFont val="Arial"/>
        <family val="2"/>
      </rPr>
      <t xml:space="preserve">Subdirección Administrativa </t>
    </r>
    <r>
      <rPr>
        <sz val="10"/>
        <color theme="1"/>
        <rFont val="Arial"/>
        <family val="2"/>
      </rPr>
      <t xml:space="preserve">
(Talento Humano, Sistemas, Servicios Administrativos, Gestión Documental y Gestión Ambiental)</t>
    </r>
  </si>
  <si>
    <r>
      <rPr>
        <b/>
        <sz val="10"/>
        <color theme="1"/>
        <rFont val="Arial"/>
        <family val="2"/>
      </rPr>
      <t>Subdirección Financiera</t>
    </r>
    <r>
      <rPr>
        <sz val="10"/>
        <color theme="1"/>
        <rFont val="Arial"/>
        <family val="2"/>
      </rPr>
      <t xml:space="preserve">
(Presupuesto, Tesorería, Contabilidad, Facturación)</t>
    </r>
  </si>
  <si>
    <t>#</t>
  </si>
  <si>
    <t>%</t>
  </si>
  <si>
    <t># * Pond</t>
  </si>
  <si>
    <t>El análisis cualitativo es adecuado frente a la información numérica reportada.</t>
  </si>
  <si>
    <t xml:space="preserve">Se recomienda revisar en la formulación del plan la periodicidad propuesta, puesto que se propone el seguimiento trimestral pese a que se cuenta con los datos mensuales. </t>
  </si>
  <si>
    <t>Se valora el cumplimiento en nivel satisfactorio teniendo en cuenta el avance reportado con relación al período de reporte.</t>
  </si>
  <si>
    <t>La formulación del indicador no presenta observaciones.</t>
  </si>
  <si>
    <t xml:space="preserve">Se valora el cumplimiento en nivel muy satisfactorio, teniendo en cuenta el resultado reportado </t>
  </si>
  <si>
    <t>No se encuentran soportes almacenados en la carpeta del Drive. Se recomienda revisar y complementar en lo pertinente para los seguimientos posteriores.</t>
  </si>
  <si>
    <t>Se cuenta con soportes en la carpeta compartida dispuesta en Drive. Es importante que el proceso garantice que los mismos evidencian los resultados reportados.</t>
  </si>
  <si>
    <t>Debido a la periodicidad de la medición, para el primer trimestre esta acción no cuenta con soportes almacenados.</t>
  </si>
  <si>
    <t>Se valora el cumplimiento en un nivel muy satisfactorio, teniendo en cuenta que supera la expectativa de resultado planeada en el período.</t>
  </si>
  <si>
    <t>Se recomienda ampliar el reporte cualitativo del indicador, con el fin de explicar con mayor detalle el resultado numérico reportado.</t>
  </si>
  <si>
    <t>Para el primer trimestre de la vigencia no se tiene reporte de avances en la acción, por lo cual la misma se valora sin avance.</t>
  </si>
  <si>
    <t>El análisis cualitativo sustenta debidamente el estado de la acción sin avance. Se espera que a partir del segundo trimestre se cuente con las gestiones pertinentes sobre la acción planteada.</t>
  </si>
  <si>
    <t>Se recomienda revisar en la formulación del plan la periodicidad propuesta, puesto que el seguimiento se propone mensual y el reporte de datos se está realizando en período trimestral.</t>
  </si>
  <si>
    <t>La formulación del indicador no presenta observaciones. Se recomienda tener en cuenta la recomendación de periodicidad de los indicadores anteriores en el siguiente reporte.</t>
  </si>
  <si>
    <t>De acuerdo con la información numérica reportada, se valora el avance como muy satisfactorio.</t>
  </si>
  <si>
    <t>Se recomienda revisar la consistencia de la información entre el análisis cualitativo y el reporte numérico de la acción. (El reporte numérico menciona 2 comunicaciones gestionadas y al análisis cualitativo indica 7 boletines).</t>
  </si>
  <si>
    <t>Se recomienda revisar la consistencia de la información entre el análisis cualitativo y el reporte numérico de la acción. (El reporte numérico menciona 9 comunicaciones gestionadas y al análisis cualitativo indica 7).</t>
  </si>
  <si>
    <t>Se recomienda revisar la consistencia de la información entre el análisis cualitativo y el reporte numérico de la acción. (El reporte numérico menciona 5 comunicaciones gestionadas y al análisis cualitativo indica 6).</t>
  </si>
  <si>
    <t>Se valora el cumplimiento en nivel satisfactorio teniendo en cuenta el avance reportado con relación al período de reporte y la meta propuesta para el mismo.</t>
  </si>
  <si>
    <t>Se valora el cumplimiento en nivel muy satisfactorio teniendo en cuenta el avance reportado con relación al período de reporte y la meta propuesta para el mismo.</t>
  </si>
  <si>
    <t>Se recomienda revisar la fórmula propuesta para el indicador, puesto que difiere con la información numérica reportada (en el indicador se plantea el número de plataformas a intervenir, mientras que el reporte numérico se hace sobre el porcentaje de avance en dicha intervención.)</t>
  </si>
  <si>
    <t>El análisis cualitativo justifica adecuadamente la gestión del indicador planteado; no obstante se sugiere revisar para reportes posteriores la coherencia entre las cifras y su análisis.</t>
  </si>
  <si>
    <t>Se recomienda revisar la formulación del indicador de acuerdo con las actividades planteadas en el anexo, como base para los reportes de la vigencia.</t>
  </si>
  <si>
    <t>Se recomienda ampliar el reporte cualitativo del indicador, con el fin de justificar de mejor manera las razones de no ejecución en el período, o de evidenciar gestiones relacionadas con el mismo.</t>
  </si>
  <si>
    <t>Se recomienda ampliar el reporte de análisis de la información numérica, con el fin de explicar a mayor detalle las actividades logradas en cada período y que aportan a cumplir la meta propuesta.</t>
  </si>
  <si>
    <t>Se recomienda revisar la formulación del indicador, en términos de porcentaje de avance, de manera que guarde coherencia con lo reportado; así como la programación de metas 2021-2024.</t>
  </si>
  <si>
    <t xml:space="preserve">Se recomienda revisar en la formulación del plan la periodicidad propuesta, puesto que se propone el seguimiento trimestral pese a que se cuenta con los datos mensuales; adicionalmente la fórmula del indicador y la programación de metas 2021-2024. </t>
  </si>
  <si>
    <t>Se recomienda revisar el análisis cualitativo reportado, con el fin de garantizar la coherencia entre éste y los resultados numéricos reportados.</t>
  </si>
  <si>
    <t>Es necesario revisar la formulación del indicador, puesto que el resultado reportado (numérico) difiere de la fórmula propuesta (en porcentajes).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</si>
  <si>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</si>
  <si>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</si>
  <si>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El avance se valora en nivel satisfactorio, teniendo en cuenta lo reportado frente a la meta establecida. Se recomienda el reporte de información de acuerdo con la periodicidad establecida. Así mismo, es importante que la información reportada esté alienada con los reportes al proyecto de inversión, en lo pertinente.</t>
  </si>
  <si>
    <t>Si bien el análisis cualitativo es adecuado al reporte numérico realizado, se recomienda mayor síntesis en el mismo.</t>
  </si>
  <si>
    <t>El avance se valora en nivel satisfactorio, teniendo en cuenta lo reportado frente a la meta establecida. Se recomienda el reporte de información de acuerdo con la periodicidad establecida. También se recomienda revisar, puesto que en datos, la información es igual a la del indicador anterior.</t>
  </si>
  <si>
    <t>Se observa que el análisis cualitativo es adecuado al reporte numérico realizado.</t>
  </si>
  <si>
    <t>Teniendo en cuenta la meta propuesta y la información reportada por el área, se valora en nivel muy satisfactorio.</t>
  </si>
  <si>
    <t xml:space="preserve">Se recomienda tener en cuenta la información del anexo, para el seguimiento y reportes del indicador. Igualmente, se recomienda revisar el indicador planteado en términos de porcentaje, frente al reporte que se realizó en términos de números. </t>
  </si>
  <si>
    <t>Teniendo en cuenta la meta propuesta y la información reportada por el área, se valora en nivel muy satisfactorio, no obstante se recomienda revisar el reporte, dado que no corresponde a lo formulado en el indicador.</t>
  </si>
  <si>
    <t>Se recomienda revisar el análisis, puesto que difiere de las cifras reportadas. Igualmente se sugiere para futuros reportes que se amplíe este análisis, de forma tal que permita mejor comprensión del reporte.</t>
  </si>
  <si>
    <t>De acuerdo a los datos reportados, se valora el nivel de cumplimiento en muy satisfactorio.</t>
  </si>
  <si>
    <t>El análisis cualitativo es adecuado frente a la información numérica reportada y da cuenta de las gestiones adelantadas, por lo cual no presenta observaciones.</t>
  </si>
  <si>
    <t>La formulación del indicador y la periodicidad reportada son conformes y no presentan observaciones.</t>
  </si>
  <si>
    <t>Los datos reportados evidencian un nivel de cumplimiento muy satisfactorio de las gestiones del plan. Sin embargo se recomienda tener presente la fórmula del indicador, respecto a los datos reportados.</t>
  </si>
  <si>
    <t>No se encontró análisis cualitativo en el reporte. Se requiere que éste sea actualizado para el reporte del segundo trimestre.</t>
  </si>
  <si>
    <t>Los datos reportados evidencian un nivel de cumplimiento muy satisfactorio de las gestiones del plan, por lo cual no hay observaciones adicionales.</t>
  </si>
  <si>
    <t>La formulación del indicador es adecuada y no presenta observaciones.</t>
  </si>
  <si>
    <t>De acuerdo con los datos reportados y la escala de valoración definida, se aprecia el resultado del indicador en nivel de cumplimiento muy satisfactorio y no presenta observaciones adicionales.</t>
  </si>
  <si>
    <t>La formulación del indicador es adecuada y no presenta observaciones. Se recomienda para el indicador revisar los rangos de tolerancia, que permitan identificar en qué niveles hay cumplimiento adecuado y en cuales puede generarse una alerta.</t>
  </si>
  <si>
    <t>Con relación al reporte cuantitativo, se valora el avance en nivel muy satisfactorio respecto a las cifras reportadas y las gestiones adelantadas.</t>
  </si>
  <si>
    <t xml:space="preserve">Se recomienda revisar y ajustar los parámetros del indicador a partir de actividades a desarrollar en la vigencia, con el fin de medir las gestiones de 2021, por ejemplo, orientado al seguimiento o al cumplimiento de los compromisos del plan de la política de prevención del daño antijurídico. </t>
  </si>
  <si>
    <t>El análisis cualitativo refleja los avances en la construcción del documento para 2020; por lo cual se da la recomendación sobre ajustar las acciones y próximos reportes pensados en lo ejecutado durante 2021.</t>
  </si>
  <si>
    <t>Teniendo en cuenta la periodicidad propuesta para el seguimiento de la actividad, la misma se valora sin reporte en esta revisión.</t>
  </si>
  <si>
    <t>Teniendo en cuenta la periodicidad propuesta para el seguimiento de la actividad, no hay un análisis cualitativo registrado. Este corte será incluido en el seguimiento del segundo trimestre.</t>
  </si>
  <si>
    <t>Formulación</t>
  </si>
  <si>
    <t>Reporte</t>
  </si>
  <si>
    <t>Análisis</t>
  </si>
  <si>
    <t>Evidencias</t>
  </si>
  <si>
    <t>ASPECTOS DE REVISIÓN</t>
  </si>
  <si>
    <t>Lecciones aprendidas programadas</t>
  </si>
  <si>
    <t>Realizar seguimientos sobre los avances mensuales a los resultados del plan de fortalecimiento institucional, con el fin de cumplir los requisitos de implementación y mantenimiento del Modelo Integrado de Planeación y Gestión - MIPG.</t>
  </si>
  <si>
    <t>Medir el nivel de cumplimiento en la ejecución de los recursos sobre las adquisiciones planeadas para la vigencia</t>
  </si>
  <si>
    <t>Medios de comunicación interna intervenidos</t>
  </si>
  <si>
    <t>Analizar y potenciar canales de comunicación interna que generen y compartan mensajes integrales y de marca.</t>
  </si>
  <si>
    <t>Número de medios de comunicación interna intervenidos / número de medios planeados a intervenir</t>
  </si>
  <si>
    <t>Realizar publicaciones, campañas, boletines y/o comunicados que ayuden a fomentar la cultura organizacional y el sentido de pertenencia.</t>
  </si>
  <si>
    <t>Comunicaciones sobre cultura organizacional y sentido de pertenencia</t>
  </si>
  <si>
    <t>Gestión de las comunicaciones internas</t>
  </si>
  <si>
    <t>Comunicaciones sobre Bioseguridad</t>
  </si>
  <si>
    <t>Porcentaje de avance en las actividades ejecutadas</t>
  </si>
  <si>
    <t>Porcentaje total de las actividades planeadas</t>
  </si>
  <si>
    <t>Porcentaje de avance en las actividades ejecutadas  / Porcentaje total de las actividades planeadas</t>
  </si>
  <si>
    <t>Porcentaje de avance en la documentación del estándar de relacionamiento con audiencias en redes sociales</t>
  </si>
  <si>
    <t>En relación al cronograma de transferencias secundarias se define la proyección de transferencias secundarias que se realizaran por año y el número de TRD actualizadas</t>
  </si>
  <si>
    <t>Porcentaje de cumplimiento del plan de gestión anual de la Subdirección Administrativa 2021 - 2024</t>
  </si>
  <si>
    <t>Porcentaje de avance en la ejecución de actividades del plan estratégico de la subdirección administrativa</t>
  </si>
  <si>
    <t>100% Total de las acciones programadas en el plan estratégico de la subdirección administrativa</t>
  </si>
  <si>
    <t>Para el 2021 estructurar el Estudio de Mercado, para realizar la adquisición del nuevo sistema de inventario y su posterior implementación.</t>
  </si>
  <si>
    <t>Porcentaje de avance en la estructuración del estudio de mercado y posterior adquisición de un nuevo sistema de inventario.</t>
  </si>
  <si>
    <t>100% estudio de mercado estructurado</t>
  </si>
  <si>
    <t xml:space="preserve">Porcentaje de avances en las Intervenciones realizadas en el bien. </t>
  </si>
  <si>
    <t>(Número de intervenciones realizadas / Número de Intervenciones Programadas)*100%</t>
  </si>
  <si>
    <t>Cumplimiento del plan estratégico de Recursos Humanos</t>
  </si>
  <si>
    <t>Cumplimiento del Plan de Bienestar e Incentivos</t>
  </si>
  <si>
    <t>Cumplimiento del Plan de Seguridad y Salud formulado e implementado.</t>
  </si>
  <si>
    <t>Cumplimiento del plan de integridad</t>
  </si>
  <si>
    <t>Cumplimiento del Plan Institucional de Gestión Ambiental - PIGA</t>
  </si>
  <si>
    <t>Oportunidad en la gestión de órdenes de pago</t>
  </si>
  <si>
    <t>Gestión mensual del flujo de caja</t>
  </si>
  <si>
    <t>Gestión mensual contable - Estados contables</t>
  </si>
  <si>
    <t>Gestión de las comunicaciones internas de la subdirección financiera</t>
  </si>
  <si>
    <t>Porcentaje de avance en las actividades de gestión para la implementación del componente contractual</t>
  </si>
  <si>
    <t>Implementación de las fases planeadas para el despliegue del módulo financiero</t>
  </si>
  <si>
    <t>Porcentaje de avance en las fases de la implementación del componente financiero.</t>
  </si>
  <si>
    <t>Cumplimiento en la revisión y actualización (si es requerido) del Manual de contratación, supervisión e interventoría</t>
  </si>
  <si>
    <t>Revisar el Manual de contratación, supervisión e interventoría y adelantar los ajustes y actualizaciones que se consideren pertinentes y oportunos.</t>
  </si>
  <si>
    <t>Porcentaje de avance en la revisión y actualización del Manual de contratación, supervisión e interventoría</t>
  </si>
  <si>
    <t>Cumplimiento en el cargue y actualización del Sistema distrital de información disciplinaria</t>
  </si>
  <si>
    <t>100% del documento</t>
  </si>
  <si>
    <t>Porcentaje de procesos disciplinarios cargados en el sistema de información / 100% de información requerida para cargar en el sistema de información disciplinaria</t>
  </si>
  <si>
    <t>Seguimiento a la ejecución de recursos del Plan Anual de Adquisiciones - PAA.</t>
  </si>
  <si>
    <t>Número de comunicaciones gestionadas sobre cultura organizacional y sentido de pertenencia / Número de solicitudes de comunicación recibidas sobre cultura organizacional y sentido de pertenencia</t>
  </si>
  <si>
    <t>Número de comunicaciones gestionadas sobre cultura organizacional y sentido de pertenencia</t>
  </si>
  <si>
    <t>Número de solicitudes de comunicación recibidas sobre cultura organizacional y sentido de pertenencia</t>
  </si>
  <si>
    <t>Número de comunicaciones gestionadas en asuntos de Bioseguridad / Número de solicitudes de comunicación recibidas en asuntos de Bioseguridad</t>
  </si>
  <si>
    <t>Número de comunicaciones gestionadas en asuntos de Bioseguridad</t>
  </si>
  <si>
    <t>Número de solicitudes de comunicación recibidas en asuntos de Bioseguridad</t>
  </si>
  <si>
    <t>Número de comunicaciones gestionadas sobre campañas y/o proyectos institucionales / Número de solicitudes de comunicación recibidas sobre campañas y/o proyectos institucionales</t>
  </si>
  <si>
    <t>Número de comunicaciones gestionadas sobre campañas y/o proyectos institucionales</t>
  </si>
  <si>
    <t>Número de solicitudes de comunicación recibidas sobre campañas y/o proyectos institucionales</t>
  </si>
  <si>
    <t>Ejecución de estrategias de comunicación pública y de negocios estratégicos para Capital y para Eureka.</t>
  </si>
  <si>
    <t>Diseñar y ejecutar estrategias de comunicación pública, negocios estratégicos y de educomunicación, que arrojen un fee mínimo de 8.5% para Capital, incluido, Eureka</t>
  </si>
  <si>
    <t>Reporte de los resultados del Plan de posicionamiento respecto a la gestión de recursos de Capital y de Eureka</t>
  </si>
  <si>
    <t>Porcentaje de las estrategias de comunicación pública y de negocios estratégicos, de contratos suscritos que logran el fee mínimo de 8.5%.</t>
  </si>
  <si>
    <t>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t>
  </si>
  <si>
    <t>(Número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t>
  </si>
  <si>
    <t>Número de contrataciones realizadas por comunicación pública, negocios estratégicos y de educomunicación , que arrojen un fee mínimo de 8.5% para Capital</t>
  </si>
  <si>
    <t>Número total de contratos de comunicación pública, negocios estratégicos y de educomunicación suscritos en el periodo</t>
  </si>
  <si>
    <t>Porcentaje de avance en la intervención de las plataformas</t>
  </si>
  <si>
    <t>100% de las actividades programadas en las plataformas a intervenir</t>
  </si>
  <si>
    <t>Porcentaje de avance en las plataformas digitales optimizadas para la publicación de contenidos (2)</t>
  </si>
  <si>
    <t>Hace referencia al porcentaje de avance en las actividades de intervención de las plataformas tecnológicas, durante la vigencia, para  unificar las páginas web de capital en una sola que cumpla con los lineamientos de gobierno en línea, así como del canal de YouTube.</t>
  </si>
  <si>
    <t>Creación e implementación de un módulo de gestión contractual en el software de gestión de Canal Capital.</t>
  </si>
  <si>
    <t>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</si>
  <si>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y el profesional universitario de Sistemas, la entidad no contempla erogación alguna para el mismo.</t>
  </si>
  <si>
    <t>Mantener actualizada la información del proceso de gestión jurídica y contractual de acuerdo con el régimen de contratación aplicable.</t>
  </si>
  <si>
    <t>Revisión y actualización del manual de contratación</t>
  </si>
  <si>
    <t>Capacitar en asuntos relacionados con la política de prevención de daño antijurídico.</t>
  </si>
  <si>
    <t>2 capacitaciones</t>
  </si>
  <si>
    <t>Capacitación en asuntos relacionados con la política de prevención de daño antijurídico.</t>
  </si>
  <si>
    <t>Capacitar a los supervisores a fin de evitar  que con sus conductas se generen daños antijurídicos</t>
  </si>
  <si>
    <t>Realización de capacitaciones en asuntos relacionados con la política de prevención de daño antijurídico.</t>
  </si>
  <si>
    <t>Suministrar herramientas para adelantar una adecuada supervisión a fin de evitar daños antijurídicos</t>
  </si>
  <si>
    <t>1. Convocar a  supervisores y apoyos a la supervisión a las capacitaciones
2. Capacitar en asuntos relacionados con la política de prevención de daño antijurídico</t>
  </si>
  <si>
    <t>(Actividades/2)*100%</t>
  </si>
  <si>
    <t>La entidad no contempla erogación.</t>
  </si>
  <si>
    <t>Porcentaje de avance en la implementación del plan institucional de capacitación</t>
  </si>
  <si>
    <t xml:space="preserve">Porcentaje de avance en la Organización (Clasificación, Ordenación, Foliación y Almacenamiento) de los expedientes a transferir en cada una de las vigencias.   </t>
  </si>
  <si>
    <t>Número de expedientes a transferir intervenidos / Número de transferencias proyectadas</t>
  </si>
  <si>
    <t>Número de expedientes a transferir intervenidos</t>
  </si>
  <si>
    <t>Número de transferencias proyectadas</t>
  </si>
  <si>
    <t>3.2. Fortalecimiento de los servicios de tecnológicos, misionales y administrativos de Capital, bajo criterios de seguridad y privacidad de la información.</t>
  </si>
  <si>
    <t>3.2.2</t>
  </si>
  <si>
    <t>3.2.3</t>
  </si>
  <si>
    <t>3.2.4</t>
  </si>
  <si>
    <t>Semestral.</t>
  </si>
  <si>
    <t>HOJA DE VIDA DEL INDICADOR</t>
  </si>
  <si>
    <t>ÁREA RESPONSABLE</t>
  </si>
  <si>
    <t>PROYECTO / PLAN</t>
  </si>
  <si>
    <t>LÍDER ESTRATÉGICO</t>
  </si>
  <si>
    <t>RESPONSABLE(S) DE LA MEDICIÓN</t>
  </si>
  <si>
    <t>1. ALINEACIÓN ESTRATÉGICA</t>
  </si>
  <si>
    <t>Correspondencia ODS</t>
  </si>
  <si>
    <t>Correspondencia PDD</t>
  </si>
  <si>
    <t>Correspondencia MIPG</t>
  </si>
  <si>
    <t>2. INFORMACIÓN DEL INDICADOR</t>
  </si>
  <si>
    <t>Iniciativa Estratégica</t>
  </si>
  <si>
    <t>Entregable</t>
  </si>
  <si>
    <t>Indicador de producto</t>
  </si>
  <si>
    <t>Tipo de indicador</t>
  </si>
  <si>
    <t>Fórmula</t>
  </si>
  <si>
    <t>Actividades de gestión</t>
  </si>
  <si>
    <t>3. REPORTE DE INFORMACIÓN</t>
  </si>
  <si>
    <t>INDICADOR</t>
  </si>
  <si>
    <t>RESULTADO</t>
  </si>
  <si>
    <t>4. ANÁLISIS DE RESULTADOS</t>
  </si>
  <si>
    <t>El análisis de resultados en la presente sección debe ser consecuente con los avance obtenidos en el período de seguimiento para el indicador reportado, teniendo en cuenta las actividades de gestión descritas para el mismo.</t>
  </si>
  <si>
    <t>SEGUIMIENTO 1</t>
  </si>
  <si>
    <t>SEGUIMIENTO 2</t>
  </si>
  <si>
    <t>SEGUIMIENTO 3</t>
  </si>
  <si>
    <t>SEGUIMIENTO 4</t>
  </si>
  <si>
    <t>Periodicidad de reporte</t>
  </si>
  <si>
    <t>Descripción de los cambios</t>
  </si>
  <si>
    <t>Creación del plan estratégico y plan de acción institucional de la vigencia 2021, que contiene las acciones propuestas por los líderes y responsables de los procesos orientados al cumplimiento de los objetivos estratégicos. Esta versión se encuentra sujeta a revisión permanente por parte de la Alta Dirección y de los líderes y responsables de los procesos de la entidad en atención a las posibles modificaciones que puedan presentarse o en los objetivos propuestos por las áreas. Así mismo, en cumplimiento de lo establecido mediante Decreto número 612 de 2018 "Por el cual se fijan las directrices para la integración de los planes institucionales y estratégicos al plan de acción por parte de las entidades del estado", se incorporan acciones de medición y seguimiento de los planes allí definidos, exceptuando los siguientes planes que no son aplicables para esta entidad: Plan Anual de Vacantes y Plan de Previsión de Recursos Humanos.</t>
  </si>
  <si>
    <t>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</si>
  <si>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</si>
  <si>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01 - (29 de enero)</t>
  </si>
  <si>
    <t>02 - (16 de abril)</t>
  </si>
  <si>
    <t>03 - (13 de junio)</t>
  </si>
  <si>
    <t>Número de capacitaciones realizadas</t>
  </si>
  <si>
    <t>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t>
  </si>
  <si>
    <t>Desarrollar estrategias que incentiven la cocreación con la ciudadanía (mínimo una por año)</t>
  </si>
  <si>
    <t>Porcentaje de avance en la gestión para la suscripción de contratos de las estrategias de comunicación pública y de negocios estratégicos</t>
  </si>
  <si>
    <t>Garantizar la calidad y continuidad de la señal de transmisión del canal, evaluando y monitoreando el correcto funcionamiento de los equipos técnicos que intervienen en la cadena de emisión y transmisión.</t>
  </si>
  <si>
    <t>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</si>
  <si>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medición los mantenimientos programados que afecten el retorno de señal en alguno de los puntos de monitoreo. </t>
    </r>
  </si>
  <si>
    <t>Ejecutar las fases  1. Análisis, 2. Diseño, 3. Desarrollo, 4. Pruebas y 5. Despliegue del desarrollo, a fin de implementar el componente financiero del software de gestión</t>
  </si>
  <si>
    <t>Número de capacitaciones realizadas / Número de capacitaciones programadas</t>
  </si>
  <si>
    <t>Durante el segundo trimestre del año se dio cumplimiento al 92% de la totalidad de reportes programados realizando los respectivos seguimiento a los proyectos de inversión en SEGPLAN y SPI, dando cumplimiento al seguimiento de la ejecución de los recursos suministrados por el FUTIC para la generación de contenidos, reportando la información se avance en materia de políticas públicas, realizando los seguimientos a los indicadores institucionales y presentando los informes de gestión ambiental asociados con gestión de residuos y movilidad sostenible. Se presentaron retrasos en el desarrollo dele ejercicio de autoevaluación institucional que se realizará en el mes de agosto así como en la actualización del Plan de Acción Institucional que se realizó en el mes de julio.</t>
  </si>
  <si>
    <t>En el trimestre el PAA tuvo varias modificaciones con respecto al presupuesto aprobado en 2020, ya se liberó la disponibilidad y se ajustó el rubro de inversión, por otra parte, también se realizaron traslados internos, para ajustar las adquisiciones a los rubros donde se ajustan de acuerdo con el nuevo catálogo de cuentas. La contratación se ha desarrollado de acuerdo con los cronogramas quedando de la siguiente manera: Funcionamiento 80.3%, Operación 62.0% e Inversión 57.4%</t>
  </si>
  <si>
    <t xml:space="preserve">En el marco de está acción se han adelantado los contactos y reuniones pertinentes con las diferentes comunidades étnicas de acuerdo con lo establecido en los PIAA 2021. Asimismo se han atendido los requerimientos de información y reportes de implementación de los PIAA, Política de Mujer y Equidad y Género, Política de Juventud, Política de Actividades Sexuales Pagadas y compromisos en el marco del enfoque de transversalización de género. </t>
  </si>
  <si>
    <t>Durante el segundo trimestre del año en curso los logros fueron los siguientes: 85 impactos en medios de comunicación a nivel nacional, en prensa escrita, radio e internet. De acuerdo a un rastreo artesanal pues no se cuenta con el servicio de Monitoreo de medios, que permita conocer el alcance real de la gestión.</t>
  </si>
  <si>
    <t>En el segundo trimestre de 2021 se realizó la intervención de los medios de comunicación interna en el Boletín Interno y el chat Capital Comunica.</t>
  </si>
  <si>
    <t>Los datos entregados hacen parte del informe entregado trimestralmente a la Comisión de Regulación de Comunicaciones. La información permite concluir que en el segundo trimestre de 2021 se realizó un aporte del 29,8 % de contenido infantil y adolescente respecto al total de la parrilla de programación del periodo estipulado, que se mide entre 6:00 a.m. y 12:00 p.m. Las cifras alcanzadas se encuentran dentro del rango de meta propuesto, habida cuenta de que la programación infantil y adolescente dio continuidad a los horarios establecidos en el trimestre anterior.</t>
  </si>
  <si>
    <t>Durante el trimestre se realizaron avance en cuanto a las acciones precontractuales pertinentes a la gestión del proyecto "TODOS SOMOS CUIDADANOS", estas acciones representa el 25 % del avance del total de la estrategia determinada para la  vigencia 2021. Por lo anterior se concluye que se ha alcanzado el resultado esperando.
Nota aclaratoria: 
*Se ha presentado como anomalía que pese a los avances precontractuales reportados, por decisiones administrativas, fue necesario suspender el proceso el cual, según la instrucción, se reactivaría en el mes de julio de 2021 tiempo en el que se presentarán al comité de contratación los estudios previos diseñados para aval y de esta manera continuar con la actividad propuesta.
* Se notificó a planeación sobre la necesidad de desvincular del reporte a la alianza gestionada con la fundación SOLE Colombia ya que por decisiones presupuestales no fue viable su realización para esta vigencia</t>
  </si>
  <si>
    <t>Para el segundo trimestre del año 2021 el equipo de proyectos estratégicos y comunicación pública planteó como meta parcial de cumplimiento del indicador un 37% según lo planteado en el Plan de posicionamiento y gestión de recursos de Capital y de Eureka, de acuerdo con lo anterior se obtuvieron los siguientes resultados:
1. Para el componente 1: 39% ejecutado, 18% en ejecución y un 43% por iniciar su gestión
2. Para el componente 2: 55% ejecutado, 33% en ejecución y un 13% por iniciar su gestión
Por lo anterior se concluye que el indicador ha alcanzado el cumplimiento propuesto por el equipo de proyectos estratégicos y comunicación pública para el trimestre.</t>
  </si>
  <si>
    <t>Para el primer trimestre se suscribieron 10 contratos de los cuales el total de estos cuenta con un Fee mínimo del 8,5% del valor total de contrato.</t>
  </si>
  <si>
    <t>Para el segundo trimestre se suscribieron 7 contratos de los cuales 6 cuentan con un Fee mínimo del 8,5% del valor total de contrato.</t>
  </si>
  <si>
    <t xml:space="preserve">Se realizó modificación del numeral 3.3.9.1 del Titulo III Capitulo I del Manual de Contratación mediante la Resolución 038 del 3 de mayo de 2021.  Se incluyen como parte de las evidencias, la Resolución No. 038 del 3 de mayo de 2021, el acta de comité de contratación de fecha 3 de mayo de 2021, en sesión asincrónica fue aprobada la modificación previamente señalada.  </t>
  </si>
  <si>
    <t>Con ocasión a la solicitud del 9 de marzo, el 23 de abril se recibió por correo electrónico la creación de usuarios para el ingreso a la plataforma. 
Así mismo, el pasado 30 de junio se envió solicitud con el propósito de agendar capacitación para el manejo del Sistema Distrital de Información Disciplinaria (SID), pero a la fecha no se ha obtenido respuesta alguna.  
En tal sentido, el análisis de resultados de la descripción de las actividades corresponde al 0% de avance.</t>
  </si>
  <si>
    <t>El 11 de junio se llevó a cabo la capacitación "Socialización nuevas contrataciones" con el fin de explicar ciertos componentes de la política de prevención de daño antijurídico relacionado con los objetos contractuales para las contrataciones nuevas. 
Los demás aspectos de dicha política, se contemplarán mediante capacitación programada para el segundo semestre. 
En tal sentido, el análisis de resultados de la descripción de las actividades corresponde al 0,5 de avance.</t>
  </si>
  <si>
    <t>Se realizó una adecuación y/o estrategia a la página web en materia de accesibilidad web para personas en condición de discapacidad, la misma aún se encuentra en ejecución. Respecto a los servicios del canal se realizó una reunión con Dirección Operativa en la cual se unificaron los servicios que presta el canal actualizando el portafolio de servicios que tiene la entidad y publicándolo en la página web en el siguiente enlace:  https://www.canalcapital.gov.co/sites/default/files/1.2-Catalogo-Capital-2021.atencion-al-ciudadano-ABRIL-2021.pptx.pdf. (Esto teniendo en cuenta el Plan de Mejoramiento que ya se tenia desde la vigencia pasada en el Plan de Acción de la Política).  A principios de este mes se envió el formato de autoevaluación a las áreas competentes para poder definir si hace falta un plan de mejoramiento para las acciones que lo requieran.</t>
  </si>
  <si>
    <t>Se realizaron las actividades programadas para el trimestre correspondientes a cada área de la Subdirección.</t>
  </si>
  <si>
    <t>Durante el segundo trimestre de 2021 no se logró avanzar en el estudio de mercado dado que el área desea replantear la acción inicial en compañía con el área de sistemas.</t>
  </si>
  <si>
    <t>Se realiza una primera intervención de impermeabilización y pintura a la pared izquierda donde se ubica el árbol de la casa.</t>
  </si>
  <si>
    <t>Para el periodo reportado, se realizaron las siguientes actividades acorde al plan de seguridad y privacidad de la información 2021:
• Para el periodo del reporte, se han implementado y documentado reglas y políticas a nivel de LAN y WAN en el FIREWALL de la entidad, lo anterior para salvaguardar la seguridad de la plataforma tecnológica y de la información que es producida y procesada por las áreas de capital en el cumplimiento de las funciones.
• Se realizó la actualización AGRI-SI-GU-008 Guía de Acceso y Servicios de Red, debido al cambio de equipos y configuración lógica en la infraestructura tecnológica de la entidad.
• Socialización de los procedimientos para el traslado, actualización y seguimiento del inventario de equipos tecnológicos entre las Áreas de sistemas y técnica.
• Socialización de la Política de seguridad y privacidad de la información en el marco del plan de capacitación de Talento Humano.
• Se elaboró, público y socializó el Plan de Sensibilización del Sistema de Gestión de Seguridad y Privacidad de la Información a través de comunicaciones internas.</t>
  </si>
  <si>
    <t>Para el periodo reportado, se realizaron las siguientes actividades acorde al plan de tratamiento de riesgos de seguridad y privacidad de la información 2021:
• Se encuentra en proceso de elaboración la “Matriz de riesgos seguridad digital 2021 V1”, esta se inició a elaborar de acuerdo a la guía de gestión de riesgos del MinTIC.
• Implementación de acciones preventivas en los recursos de seguridad perimetral de la entidad, con el fin de prevenir riesgos de incidentes de fuga de información e indisponibilidad de los servicios tecnológicos.</t>
  </si>
  <si>
    <t>Se realizaron de  27 actividades se realizaron 28 estipuladas en el cronograma de plan de bienestar.</t>
  </si>
  <si>
    <t>Se realizaron las 29 capacitaciones que estaban programadas en el cronograma y 6 que no estaban programadas. Se suben a la carpeta las capacitaciones.</t>
  </si>
  <si>
    <t xml:space="preserve">Con corte al 30 de junio de 2021, se evidencia que el valor del recaudo acumulado es inferior al valor de los compromisos al periodo de informe, toda vez que la Secretaria Distrital de Hacienda no realizó el desembolso que se tenia previsto para el mes de mayo de $ 3.100 millones lo cual impacto el flujo de caja, aunado al hecho de que la contratación se adelanto por 12 meses. </t>
  </si>
  <si>
    <t xml:space="preserve">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</si>
  <si>
    <t>Alerta - Sin avance</t>
  </si>
  <si>
    <t>SEGUIMIENTOS</t>
  </si>
  <si>
    <t>&lt; 30%</t>
  </si>
  <si>
    <t>Avance ponderado para el segundo trimestre</t>
  </si>
  <si>
    <t>1. A 30 de abril los resultados indican un avance acumulado del 28.57% sobre el 29.35% programado y cumplimiento del 97.34%; para el período de análisis, el avance de ejecución es del 11.51% sobre el 11.25% programado para el mes, lo que significa un nivel de cumplimiento del 102.25%.
2. A 31 de mayo los resultados indican un avance acumulado del 38.44% sobre el 40.60% programado y cumplimiento del 94.67%; para el período de análisis, el avance de ejecución es del 9.87% sobre el 11.25% programado para el mes, lo que significa un nivel de cumplimiento del 87.74%.
3. A 30 de junio, los resultados indican un avance acumulado del 53.76% sobre el 54.61% programado y cumplimiento del 98.44%; para el período de análisis, el avance de ejecución es del 15.32% sobre el 13.39% programado para el mes, lo que significa un nivel de cumplimiento del 114.43%; esto como consecuencia de avances en actividades que no estaban programadas para el mes por parte de control interno, así como a la finalización de actividades de talento humano.</t>
  </si>
  <si>
    <t>El PAA tuvo varias modificaciones con respecto al presupuesto aprobado en 2020, debido al ajuste que se hizo por el resultado de las cuentas por pagar, estos recursos  se volverán a incorporar cuando se libere la disponibilidad,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 cuenta que no se incluyen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t>
  </si>
  <si>
    <t xml:space="preserve">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
  </si>
  <si>
    <t xml:space="preserve">Con corte al 31 de marzo, y de los dos reportes que se deben entregar, se avanzó en un informe trimestral que da cuenta del trabajo realizado por Comunicaciones Estratégicas en cuanto al relacionamiento con entidades públicas y privadas del sector cultural, lo cual da como resultado:
2 Alianzas con entidades de gobierno nacional y/o privadas. 
2 apoyo en divulgación por parte del sector cultura. 
1 acercamiento con evento/entidad del sector audiovisual.
3 acercamiento con evento/entidad del sector privado. </t>
  </si>
  <si>
    <t xml:space="preserve">Con corte al 30 de junio, se avanzó en tres informes mensuales que da cuenta del trabajo realizado por Comunicaciones Estratégicas en cuanto al relacionamiento con entidades públicas y privadas del sector cultural, lo cual da como resultado:                                                                                                                                                                                                                                                                                                                                                           6 Alianzas con entidades de gobierno nacional y/o privadas.   
2 Apoyos en divulgación por parte del sector cultura. 
2 Acercamientos con evento/entidad del sector privado.                                                                                                                                                                                                                                                                                              4 Acercamientos con evento/entidad del sector audiovisual.   </t>
  </si>
  <si>
    <t>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continua con los medios: Intranet, Comunicado Interno, Boletín Interno, Conexión Gerencial, Agéndate y Chat Capital Comunica.</t>
  </si>
  <si>
    <t>Han solicitado desde el área de Recursos Humanos incluir los valores de Capital en cada edición del Boletín Interno, acción que se ha realizado en el transcurso del año en los 7 Boletines Internos compartidos hasta el momento, así como información de interés para los colaboradores de Capital.</t>
  </si>
  <si>
    <t>Han solicitado desde el área de Recursos Humanos incluir los valores de Capital en cada edición del Boletín Interno, acción que se ha realizado en el transcurso del segundo trimestre en los  12 Boletines Internos compartidos hasta el momento, así como información de interés para los colaboradores de Capital.</t>
  </si>
  <si>
    <t>Con relación a la Campaña de Bioseguridad se realizaron, con corte al 30 de junio, ocho (8) publicaciones en el Boletín Interno y se compartieron en el chat de Capital Comunica un (1) video y cuatro (4) piezas de campañas o información relevante respecto a temas de bioseguridad y vacunación para el Covid-19.</t>
  </si>
  <si>
    <t>Con corte parcial al 31 de marzo se apoyaron dos campañas: PIGA (reciclaje y uso eficiente de la energía) y Seguridad Informática (Robo de datos personales, correos maliciosos, mensaje de estafa y alerta de seguridad)</t>
  </si>
  <si>
    <t>Para el segundo trimestre del año en curso se apoyaron tres campañas: PIGA  (semana ambiental) a través de dos boletines y tres comunicaciones en el chat de Capital comunica; protocolo interno para manejo de situaciones de acoso sexual y laboral a través de un boletín, un comunicado y una comunicación en el chat de Capital comunica; y senda integridad (valores institucionales) a través de nueve boletines.</t>
  </si>
  <si>
    <t xml:space="preserve">Presupuesto diseñado, apropiado y/o comprometido para llamados públicos de co-creación con sector audiovisual local </t>
  </si>
  <si>
    <t>Se observa que la información cualitativa justifica de manera adecuada la información numérica reportada, por lo cual no se establecen recomendaciones.</t>
  </si>
  <si>
    <t>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programación infantil y juvenil se siguió emitiendo en los horarios establecidos.</t>
  </si>
  <si>
    <t>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creativa"  del proyecto "TODOS SOMOS CUIDADANOS"
Estas acciones representa el 25 % del avance del total de la estrategia para cumplir a lo largo de 2021. Por lo anterior se da cuenta del cumplimiento del indicador respecto a lo establecido para el trimestre, sin anomalías</t>
  </si>
  <si>
    <t>Para el primer trimestre del año 2021 el equipo de proyectos estratégicos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estratégicos y comunicación pública para el trimestre.</t>
  </si>
  <si>
    <t>En el primer trimestre del año, como aporte al cumplimiento de este indicador se avanzó en las siguientes actividades:
1. Plan de trabajo interno para el rediseño de página web y optimización del canal de YouTube de capital 
2. Gestión precontractual del proveedor del servicio de rediseño de la página web
Estas actividades representan el 25% de aporte al indicador para la vigencia, por lo anterior se considera cumplido el avance para el trimestre de acuerdo a lo estimado.</t>
  </si>
  <si>
    <t>En el Segundo trimestre del año, como aporte al cumplimiento de este indicador se avanzó en las siguientes actividades:
1.  Se realizó el proceso de validación de la documentación de la Agencia Aguayo en cuanto a los requisitos solicitados, experiencia, certificación de experiencia en el desarrollo de actividades relacionadas con el objeto a contratar para su posterior firma del contrato.
2. Desde el mes de abril empezó la ejecución del back optimización de YouTube. Esta optimización consiste en la revisión del  estado previo del contenido que ya estaba subido en nuestro canal y su mejoramiento para mejorar el desempeño de dicho contenido en la plataforma. Dentro de este proceso también entran los contenidos nuevos que se suben al canal, pues requieren el mismo tratamiento. De abril a junio se logró optimizar 1026 videos.</t>
  </si>
  <si>
    <t>En el primer trimestre de 2021 se ha tenido un avance en el edición del documento asociado al relacionamiento con las audiencias en redes sociales en un 100%, este avance representa un 25% de la ejecución del indicador, por lo anterior se considera cumplido el porcentaje establecido para el primer trimestre.</t>
  </si>
  <si>
    <t>En el segundo trimestre de 2021 se evidenció cómo se ha venido realizando la gestión de audiencias con dos ejemplos concretos de las actividades de participación #MiPropuesta y #MiPropuestaEs, este avance representa un 50% de la ejecución del indicador, por lo anterior se considera cumplido el porcentaje establecido para el segundo trimestre.</t>
  </si>
  <si>
    <t xml:space="preserve">En relación al planteamiento de las actividades se realiza la verificación de los tiempos y disposición de los archivos físicos definiendo el volumen documental para las transferencias primarias. </t>
  </si>
  <si>
    <t>Se realizo la validación del período No 1 verificando las series correspondientes a transferir de acuerdo con las tablas de valoración documental clasificación de las series de conservación total y levantamiento del inventario documental inicial.</t>
  </si>
  <si>
    <t xml:space="preserve">Porcentaje de avance en la estructuración del estudio de mercado y adquisición </t>
  </si>
  <si>
    <t>De las cuatro actividades programadas durante la vigencia 2021, se avanza en 2 de ellas, las cuales son adecuación de portería en casa de la 69 e instalación de herrajes en algunas puertas en casa de la 69.</t>
  </si>
  <si>
    <t>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t>
  </si>
  <si>
    <t>Para el periodo reportado, se realizaron las siguientes actividades acorde a la hoja de ruta programada para la ejecución del PETI 2021-2024:
• El Switch de CORE  se implementó  en redundancia y se encuentra operativo en la infraestructura tecnológica.
• Se han implementado 4 switches en la sede 1 avenida el dorado, estos se encuentran operativos en la infraestructura tecnológica.
• Se implementó canal de datos de 40 Mb (MPLS) en la sede 2 (Chapinero) con interconexión a la sede 1 (Avenida el dorado), alcanzado el servicio de internet (COLUMBUS-LEVEL). 
• Afinamiento de reglas y políticas sobre el protocolo IPv6 en el firewall Fortinet 401E
• Se implementó firewall Fortinet 401E en HA (High availability) alta disponibilidad, se encuentra operativo en la infraestructura tecnológica. Actualmente en afinamiento de reglas y políticas. 
• Se encuentra en proceso de desarrollo el ERP INHOUSE, el cual ya tiene habilitado en producción los módulos de pasantes, denuncias, soportes, configuración y en desarrollo se encuentran los módulos de financiera y contratos.</t>
  </si>
  <si>
    <t>Durante el primer trimestre se presento indisponibilidad en la señal de streaming por fallas en el servicio de internet en el Canal el día 14 de marzo, se reporta la continuidad del servicio par el mes de Marzo del 99%, el promedio para el trimestres de la continuidad en la prestación del servicio es del 99%.</t>
  </si>
  <si>
    <t>Durante el segundo trimestre se presento indisponibilidad en la señal de streaming por fallas en el servicio de internet en el Canal el día 15 de abril, el promedio para el trimestres de la continuidad en la prestación del servicio es del 100%.</t>
  </si>
  <si>
    <t>De los cuatro ítems del plan, el punto 1 esta en el 80% que es contrato de pruebas para el proceso de selección. Del punto 2  se actualizó la matriz de peligros y valoración de riesgos. Del punto 3 esta en proceso de contratación. Del 4 ítem. Se realizó la actualización del manual de inducción para contratistas y se envía el kit de bienvenida. Al igual se realiza inducción para los nuevos servidores de planta.</t>
  </si>
  <si>
    <t>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t>
  </si>
  <si>
    <t>De acuerdo con el plan de trabajo anual del sistema de gestión de seguridad y salud en el trabajo se adelantaron las siguientes actividades (reuniones mensuales del COPASST, reunión trimestral del CCL, convocatoria y elección del CCL, actividades de prevención de contagio COVID 19, pausas activas, capacitaciones en manejos de sustancias químicas, riesgo psicosocial, riesgo eléctrico, seguridad en la vía), el cumplimiento del plan se ha adaptado en concordancia con las diferentes modalidades de trabajo que desarrollan los diferentes equipos de trabajo de la entidad.</t>
  </si>
  <si>
    <t>De las actividades del cronograma se han realizado las del segundo trimestre. Las cuales se suben en el drive.</t>
  </si>
  <si>
    <t xml:space="preserve">Si bien se han llevado a cabo varias actividades importantes de gestión, los retrasos en la contratación han afectado el normal cumplimiento de la gestión ambiental del Canal lo que hace necesario ejecutar las contrataciones programadas en el tercer trimestre del año con el fin de no presentar rezagos ni debilidades en la ejecución de los diferentes programas de gestión ambiental. Es importante resaltar la ejecución de las diferentes actividades de gestión tales como la planificación y ejecución de la semana ambiental y los informes de inspección de los diferentes sistemas de las dos sedes de la entidad. Así mismo se presenta un retraso en la ejecución de la meta de movilidad sostenible que se espera tener lista en el tercer trimestre del año. </t>
  </si>
  <si>
    <t>Con corte a 31 de marzo la entidad presenta unos compromisos superiores al valor recaudado, por lo cual se arroja un resultado del indicador inferior a 1; es de anotar que los compromisos son superiores dado que se adelantó contratación en el rubro de Adquisición de Bienes y Servicios  por 12 meses. Se recomienda realizar revisión del flujo de caja y el plan anual de adquisiciones para determinar el respaldo de los pagos de los compromisos adquiridos, como al igual el planteamiento de estrategias de ventas de servicios para incrementar el recaudo de recursos propios.</t>
  </si>
  <si>
    <t>Durante el primer trimestre se genero un cumplimiento promedio del 88% al pago de las cuentas de contratistas y proveedores en un tiempo promedio de 4 días, esto indica que se esta realizando una buena gestión en la cadena de: radicación, liquidación, descargue de presupuesto y pago tesoral.</t>
  </si>
  <si>
    <t>Durante el segundo trimestre se genero un cumplimiento promedio del 78,12% al pago de las cuentas de contratistas y proveedores en un tiempo promedio de 4 días, esto indica que se esta realizando una buena gestión en la cadena de: radicación, liquidación, descargue de presupuesto y pago tesoral.</t>
  </si>
  <si>
    <t>En el  segundo  trimestre 2021, encontramos una disponibilidad de recursos de $3,877 millones de pesos. Teniendo en cuenta que para este periodo no ingreso los recursos de aporte ordinario programado para el mes de mayo de 2021 por parte de la Secretaria de Hacienda. Arrojando una disminución significativa en los ingresos recibidos y también se presentó un desembolso mayor por el pago de sentencias judiciales por valor de $1,252 millones de pesos.</t>
  </si>
  <si>
    <t>A 31 de marzo de 2021 se obtuvo una gestión de cobro 89,21%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119.338.738</t>
  </si>
  <si>
    <t>A 30 de junio de 2021 se obtuvo una gestión de cobro 98,12%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50,191,539</t>
  </si>
  <si>
    <t>El día 19 de enero de 2021, mediante correo del área de comunicaciones (comunicado interno No. 47) se publicó el nuevo catálogo de las cuentas presupuestales - CCPET</t>
  </si>
  <si>
    <t xml:space="preserve">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 de Sistemas, Mauris Antonio Ávila, el avance del software en relación con el 100 %, es del 15 %. </t>
  </si>
  <si>
    <t>Teniendo en cuenta el ajuste realizado al indicador relacionado con la medición de actividades propias de la vigencia fue necesario actualizar el reporte del primer trimestre, para el cual el avance estimado fue de un 30%. A continuación se relacionan los avances estimados para el segundo trimestre de 2021:
De 1. fase 1:  solicitud de la secretaria general....
Completa 20% ejecutado
2. Fase 1. desarrollo del componente contractual del software....
el desarrollo de las actualizaciones de integración al ERP Capital se encuentran en desarrollo, los mismos dependen de la integración de la base de datos  y la parametrización de usuarios al total de los módulos, para el periodo evaluado dichas actualizaciones se encuentran en un 10% de desarrollo
3. Fase 1. puesta en marcha del software para uso....
En la actualidad el software se encuentra en operación y el lanzamiento de sus actualizaciones dependen del desarrollo de otros módulos componentes del ERP, por lo cual para esta actividad no se reporta porcentaje de avance.
4. fase 2: desarrollo de mejora del software para uso de otras....
Se realiza la actualización de los módulos de soporte, pasantes, recursos humanos y el lanzamiento del módulo de configuración con un avance del 9% 
5. fase 2. capacitación para usuarios del software...
Para el lanzamiento de los módulos antes expuestos se realizaron videos y capacitación a usuarios administradores con un avance ponderado igual a su desarrollo del 9%. Como evidencia se aporte correo electrónico del Ingeniero Mauris Ávila Profesional Universitario de Sistemas.</t>
  </si>
  <si>
    <t>Número de capacitaciones programadas</t>
  </si>
  <si>
    <t>El análisis cualitativo no detalla las razones por las cuales no se cuenta con avance en la actividad; por lo cual se recomienda ampliar el nivel de detalle en la información para reportes posteriores</t>
  </si>
  <si>
    <t xml:space="preserve">El resultado obedece al seguimiento que se efectuó semanalmente sobre la gestión de la oficina. En dicho espacio se reporta el estado de la actividades y se da las alertas ante posibles retrasos, lo que conllevo a que se adelantaron las acciones de manera oportuna que llevaran cumplimiento de las actividades en el periodo correspondiente. </t>
  </si>
  <si>
    <t xml:space="preserve">Se reporta el indicador con corte al 30 de abril. Se adelantaron mesas de trabajo con las áreas que presentan retraso en el cumplimiento de las acciones del plan de mejoramiento. Se entrego a las áreas la herramienta para que efectúen el reporte permanente (solo se cierra en la fecha de seguimiento para el análisis y evaluación por parte del equipo de la Oficina de Control Interno) y cargue de evidencias correspondientes la cual se puso en conocimiento vía correo electrónico. Se ha visto una mejora en el cierre de las acciones. </t>
  </si>
  <si>
    <t xml:space="preserve">El resultado obtenido se debe a que las áreas de la entidad reportan que el cumplimiento de las acciones formuladas se programaron para el segundo semestre de la vigencia. Para el reporte de PAAC también se socializo al interior de la entidad la herramienta correspondiente la cual esta habilitada de forma permanente (salvo en fechas de seguimiento y evaluación que realiza la oficina de Control Interno). </t>
  </si>
  <si>
    <t>Valor</t>
  </si>
  <si>
    <t>Antes</t>
  </si>
  <si>
    <t>Puntero</t>
  </si>
  <si>
    <t>Después</t>
  </si>
  <si>
    <t>Anexo 1 - Seguimiento al plan de acción institucional
Corte a 30 de junio de 2021.</t>
  </si>
  <si>
    <t>De acuerdo a la información financiera con corte a 31 de marzo de 2021, podemos decir que la entidad presenta una liquidez optima, por lo cual puede cumplir con sus deudas a corto plazo.
De igual manera presenta una solvencia suficiente para poder atender las obligaciones que surge producto del desarrollo de su actividad misional.
Canal Capital cuenta con el suficiente musculo financiero representado en los bancos para atender todas aquellas obligaciones de pago inmediato y aun así posee recursos para seguir operando con normalidad, sin tener que llegar a comprometerse con la venta de sus activos fijos o recurrir a créditos bancarios.
La entidad presentó un déficit al cierre de marzo, sustentado principalmente por que los costos se incrementaron en un 60% y los ingresos solo aumentaron en un 14% en comparación al mes inmediatamente anterior, esto se debió a que no alcanzo a quedar efectiva la Subvención de la SHD al cierre de mes, la cual apalancarían los costos de operación del periodo.</t>
  </si>
  <si>
    <t>Para el segundo trimestre 30 de junio, se da cumplimiento a lo programado.</t>
  </si>
  <si>
    <t>Numerador: Con corte al mes de junio de 2021 se ha realizado la gestión contractual equivalente a $ 2.177.947.917 representados en las siguientes contrataciones:
*proveedor TAYFERCABEZA valor del contrato: $519.969.429 
*proveedor UT LFP  valor del contrato:$ 519.978.488 
*proveedor LA PIRAGNA EPICA  valor del contrato:$ 618.000.000
*proveedor FILMAWA SAS  valor del contrato:$ 520.000.000
Presupuesto asignado a llamados públicos total es de $ 3.359.147.917 según plan de adquisiciones incluyendo las convocatorias abiertas, para el segundo semestre de 2021 se esperar realizar la gestión correspondiente a la adjudicación de $1.181.200.000
Nota aclaratoria: El presupuesto inicial asignado fue de $ 3.545.000.000, para el segundo trimestre se han realizado ajustes en el presupuesto debido a razones tales como: Los valores contratados han tenido modificaciones, Los procesos abiertos han quedo desiertos o no se ha dado aval a la contratación. Todo lo anterior hace que la cifra del numerador tenga un ajuste quedando así: $3.359.147.917
Denominador: $12.099.965.328 presupuesto dirección operativa. De acuerdo con esta información se concluye que a la fecha se cuenta con un cumplimiento del indicador del 27,7%, estando esto dentro del rango de meta establecido para este indicador.</t>
  </si>
  <si>
    <t>(Porcentaje de avances en el cumplimiento de las acciones programadas en el Plan Institucional de Capacitación / Porcentaje programado de cumplimiento del Plan Institucional de Capacitación para la vigencia)*100%.</t>
  </si>
  <si>
    <t>Porcentaje de avances ejecutado para el mes / Porcentaje de avances programado para el mes</t>
  </si>
  <si>
    <t>Porcentaje de avance en la ejecución de actividades del plan estratégico de la subdirección administrativa / Porcentaje programado de cumplimiento del Plan Estratégico de la Subdirección Administrativa para la vigencia</t>
  </si>
  <si>
    <t>Realizar el seguimiento al cumplimiento de las actividades programadas en el Plan Estratégico de tecnologías de la información - PETI</t>
  </si>
  <si>
    <t>(Porcentaje de avances en el cumplimiento de las acciones programadas en el Estratégico de tecnologías de la información - PETI / Porcentaje programado de cumplimiento del Plan Estratégico de de tecnologías de la información - PETI para la vigencia)*100%.</t>
  </si>
  <si>
    <t>(Porcentaje de avances en el cumplimiento de las acciones programadas en el Plan de seguridad y privacidad de la información / Porcentaje programado de cumplimiento del Plan de seguridad y privacidad de la información para la vigencia)*100%.</t>
  </si>
  <si>
    <t>(Porcentaje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t>
  </si>
  <si>
    <t>(Porcentaje de avances en el cumplimiento de las acciones programadas en el Plan Estratégico de Recursos Humanos / Porcentaje programado de cumplimiento del Plan Estratégico de Recursos Humanos para la vigencia)*100%.</t>
  </si>
  <si>
    <t>(Porcentaje de avances en el cumplimiento de las acciones programadas en el Plan de bienestar e inventivos / Porcentaje programado de cumplimiento del Plan de Bienestar e incentivos para la vigencia)*100%.</t>
  </si>
  <si>
    <t>(Porcentaje de avances en el cumplimiento de las acciones programadas en el Plan de Seguridad y Seguridad en el trabajo / Porcentaje programado de cumplimiento del Plan de Seguridad y Salud en el Trabajo para la vigencia)*100%.</t>
  </si>
  <si>
    <t>(Porcentaje de avances en el cumplimiento de las acciones programadas en el Plan de integridad / Porcentaje programado de cumplimiento del Plan de Integridad para la vigencia)*100%.</t>
  </si>
  <si>
    <t>Ingresos / Giros</t>
  </si>
  <si>
    <t>Ingresos - Costos y/o Gastos</t>
  </si>
  <si>
    <t>Porcentaje de avance en las actividades de gestión para la implementación del componente contractual / Porcentaje de avance programado para la vigencia.</t>
  </si>
  <si>
    <t>Porcentaje de avance en las fases de la implementación del componente financiero / Porcentaje de avance programado para la vigencia.</t>
  </si>
  <si>
    <t>Porcentaje de avance en la revisión y actualización del Manual de contratación, supervisión e interventoría / Porcentaje de avance programado para la vigencia.</t>
  </si>
  <si>
    <t>(Porcentaje de avances en el cumplimiento de las acciones programadas en el Plan de Acción de Servicio a la Ciudadanía / Porcentaje total de acciones programadas en el Plan de Acción de Servicio a la Ciudadanía)*100%</t>
  </si>
  <si>
    <t>Reporte 1</t>
  </si>
  <si>
    <t>Reporte 2</t>
  </si>
  <si>
    <t>Reporte 3</t>
  </si>
  <si>
    <t>1. A 31 de julio los resultados indican un avance acumulado del 64.16% sobre el 63.06% programado y cumplimiento del 101.75%; para el período de análisis, el avance de ejecución es del 10.40% sobre el 8.44% programado para el mes, lo que significa un nivel de cumplimiento del 123.16%; esto como consecuencia de avances y finalización de actividades que no estaban programadas para el mes por parte de control interno, en el ejercicio de evaluación independiente al sistema de control interno, así como en la actualización del manual de auditorías.
2. A 31 de Agosto los resultados indican un avance acumulado del 74.44% sobre el 74.95% programado y cumplimiento del 99.32%; para el período de análisis, el avance de ejecución es del 10.28% sobre el 11.89% programado para el mes, lo que significa un nivel de cumplimiento del 86.46%; Para el período se presentaron cumplimientos avances superiores de lo planeado en actividades relacionadas con el manual del MIPG, matrices de riesgos y avances en la actualización del modelo de operación por procesos.
3. A 30 de septiembre los resultados indican un avance acumulado del 82.13% sobre el 85.05% programado y cumplimiento del 99.57%; para el período de análisis, el avance de ejecución es del 7.68% sobre el 7.80% programado para el mes, lo que significa un nivel de cumplimiento del 98.53%; Para el período se presentan rezagos menores en las actividades relacionadas con la adopción de lineamientos de lenguaje claro, por parte de servicio al ciudadano, que no se adelantaron en el mes analizado, pero que aún cuentan con programación.</t>
  </si>
  <si>
    <t xml:space="preserve">Respecto a la acción de reportes se cumplió al 100% con la programación establecida en el cronograma de segunda línea de defensa a cargo de planeación, en este sentido se adelantaron los reportes de ejecución de recursos FUTIC, los informes de gestión ambiental en el marco del PIGA, los reportes de ejecución de los proyectos de inversión bajo las dos metodologías definidas (SEGPLAN y SPI) así como el proceso de actualización de los riesgos institucionales tanto de gestión como de corrupción así cmo la actualización del Plan Anticorrupción y de Atención al Ciudadano de la entidad.  </t>
  </si>
  <si>
    <t xml:space="preserve">En el trimestre  se realizaron ajustes al PAA de acuerdo con las modificaciones al plan de inversión del Futic, así como alos demás rubros del área operativa.Por otra parte, se realizaron traslados internos para realizar adquisicines o contrataciones en rubros con saldo insufiiente en funcionamiento, debido al cumplimiento del pago de las sentencias. En general la contratación se ha llevado a cabo de acuerdo con lo planeado y con los ajustes mencionados quedando de la siguente forma: Funcionamineto 93,0%, Operación 86,0% e Inversión 73,9%. </t>
  </si>
  <si>
    <t xml:space="preserve">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t>
  </si>
  <si>
    <t>Con corte al 30 de septiembre, se avanzó en tres informes mensuales que da cuenta del trabajo realizado por Comunicaciones Estrategicas en cuanto al relacionamiento con entidades públicas y privadas del sector cultural, lo cual da como resultado:                                                                                                                                                                                                                                                                                                                                                           
3 Acercamientos con evento/entidad del sector público. 
7 Acercamientos con evento/entidad del sector privado.                                                                                                                                                                                                                                                                                                                                             8 Acercamientos con evento/entidad del sector audiovisual.      
1 Acercamiento con evento/entidad sin ánimo de lucro.
1 Alianza con evento/entidad del sector universitario.</t>
  </si>
  <si>
    <t>Durante el tercer trimestre del año en curso los logros fueron los siguientes: 107 impactos en medios de comunicación a nivel nacional, en prensa escrita, radio e internet. De acuerdo a un rastreo artesanal pues no se cuenta con el servicio de Monitoreo de medios, que permita conocer el alcance real de la gestión.</t>
  </si>
  <si>
    <t>En el tercer trimestre de 2021 se realizó la intervención de los medios de comunicación interna como: la Intranet, Comunicado Interno, Boletin Interno, Bienestar Capital, Agéndate y Chat Capital Comunica.</t>
  </si>
  <si>
    <t>Han solicitado desde el área de Recusos Humanos incluir los valores de Capital en cada edición del Boletín Interno, acción que se ha realizado en el transcurso del tercer trimestre en los 13 Boletines Internos compartidos, así como información de interés para los colaboradores de Capital.</t>
  </si>
  <si>
    <t>Con relación a la Campaña de Bioseguridad se realizaron, con corte al 30 de septiembre, 13 publicaciones en el Boletín Interno y se compartieron en el chat de Capital Comunica un 9 piezas de campañas o infromación relevante respecto a temas de bioseguridad y vacunación para el Covid-19.</t>
  </si>
  <si>
    <t>Para el tercer trimestre del año en curso se apoyaron tres campañas: PIGA a través de ocho boletines y dos comunicaciones en el chat de Capital comunica; protocolo interno para menejo de situaciones de acoso sexual y laboral a través de  dos boletines; senda integridad a través de 5 boletines y tres comunicaciones en el Chat Capital comunica; y semana de la bicicleta a través de 3 boletines y dos comunicaciones en el Chat Capital comunica.</t>
  </si>
  <si>
    <t>Para el tercer trimestre del año 2021 el equipo de proyectos estratégicos y comunicación pública planteó como meta parcial de cumplimiento del indicador un 34,5% según lo planteado en el Plan de posicionamiento y gestión de recursos de Capital y de Eureka, de acuerdo con lo anterior se obtuvieron los siguientes resultados:
1. Para el componente 1: 74% ejecutado, 26% en ejecución y un 0% por iniciar su gestión
2. Para el componente 2: 90% ejecutado, 10% en ejecución y 0% por iniciar su gestión
Por lo anterior se concluye que el indicador ha alcanzado un avance anual del 81.5% de cumplimiento, el cual esta acorde a lo propuesto por el equipo de proyectos estratégicos y comunicación pública para la vigencia y el trimestre de analisis.</t>
  </si>
  <si>
    <t>Numerador:
Con corte al mes de septiembre de 2021 se ha realizado la gestión contractual equivalente a $ 2.916.947.917 representados en las siguientes contrataciones:
*proveedor TAYFERCABEZA valor del contrato: $519.969.429 
*proveedor UT LFP  valor del contrato:$ 519.978.488 
*proveedor LA PIRAGNA EPICA  valor del contrato:$ 618.000.000
*proveedor FILMAWA SAS  valor del contrato:$ 520.000.000
*proveedor GUOQUITOQUI SAS valor del contrato: $260.000.000
*proveedor DIECISÉIS 9 FILMS SAS valor del contrato: $260.000.000
*proveedor RAFAEL POVEDA TELEVISIÓN- mesa capital valor del contrato: $219.000.000
Presupuesto asignado a llamados públicos total es de $ 3.347.147.917 según plan de adquisiciones incluyendo las convocatorias abiertas, para el cuarto trimestre de 2021 se esperar realizar la gestión correspondiente a la adjudicación de $ 430.000.000
Denominador
El presupuesto inicial asignado para las producciones de dirección operativa fue de $12.099.965.328, sin embargo, para este periodo este valor ha sido ajustado a $8,558,626,628, por lo anterior. La entidad a través de la alta dirección, decidió aumentar en 5% los gastos de funcionamiento cubiertos por el plan de inversión del FUTIC, así mismo, respecto a los recursos hacienda la alta dirección decidió aumentar el cupo para el gasto de la venta generando la disminución del presupuesto para la producción de contenidos, afectando la variable "Presupuesto total para la producción de contenidos propios recursos hacienda y FuTic plan de inversión" y por ende el resultado del indicador, es por esto que el peso (respecto a la relación matemática del indicador) de los llamados públicos de creación con sector audiovisual local, aumentó respecto a lo que se había planeado inicialmente.
De acuerdo con esta información se concluye que a la fecha se cuenta con un cumplimiento del indicador del 39,1%, superando el rango de meta establecido para este indicador. Se analizará el comportamiento en lo que queda de la vigencia y se solicitará asesoría por parte de Planeación, para conocer los pasos a seguir, respecto a este aumento en el cumplimiento y solicitar los cambios en la meta.</t>
  </si>
  <si>
    <t>Los datos reportados hacen parte del informe entregado trimestralmente a la Comisión de Regulación de Comunicaciones. La información permite concluir que en el tercer trimestre de 2021 se realizó un aporte del 23,13 % de contenido infantil y adolescente respecto al total de la parrilla de programación del periodo, que se mide entre 6:00 a.m. y 12:00 p.m
Las cifras alcanzadas se encuentran dentro del rango de meta propuesto, si bien la programación infantil tuvo una reducción significativa en este trimestre, habida cuenta de cambios en la parrilla de programación: desde agosto la franja Eureka dejó de emitirse entre semana en las mañanas, y desde mediados del mismo mes comenzó a emitirse en fines de semana.
Estos cambios responden a una gran apuesta de Capital Sistema de Medios Públicos: la creación de eureka, tu canal, frecuencia TDT que tiene programación 24 horas al día, siete días a la semana dedicada a públicos infantil y adolescente. De tal suerte, es probable que propongamos que las metas del presente indicador sean ajustadas.</t>
  </si>
  <si>
    <t>El proyecto CUIDADANOS (antes denominado TODOS SOMOS CUIDADANOS) viene adelantando desde inicios de septiembre el llamado a participar a la ciudadanía en la actividad denominada “Director por un Día” a través de piezas promocionales y un tutorial que guía a los interesados en hacer un trabajo colaborativo de registro y narración de eventos, personajes y situaciones relevantes de la vida cotidiana de la ciudad junto con el equipo del programa.  Paralelamente se adelantó el proceso de selección para la empresa de producción que se hará cargo de la administración delegada del recurso para la producción del proyecto.
Por otro lado, se adelantaron las contrataciones del director, productor e investigador, así como de gráfico y músico para avanzar en las tareas correspondientes al ajuste de formato para 2021, diseño de paquete gráfico, piezas musicales originales y de investigaciones de las piezas. Con base en la información inicialmente rastreada se escribieron los guiones y grabaron los pilotos de director por un Día y Videografías Cuidadanas.</t>
  </si>
  <si>
    <t xml:space="preserve">En el tercer trimestre del año, como aporte al cumplimiento de este indicador se avanzó en las siguientes actividades:
1. Se suscribio contrato con la Agencia Aguayo el 6 de julio, lo cual nos permitió avanzar con el cronograma que se habia establecido, durante la ejecución se han realizado diferentes reuniones con las cabezas de las áreas para definir, el diseño y concepto de la página, a la fecha la Aguayo ya realizo entrega de los de Wireframes y fueron recibidos a conformidad por él encargado del proyecto. De igual Manera reportamos que con la dirección Operativa se decidio que este año solo se va a realizar la etapa de diseño de la Pagina web, por lo cual adjuntamos el nuevo cronograma.
2. La ejecución del back optimization continúa, se lograron optimizar 389 videos. Esta cifra se vio afectada por el lapso de espera para la contratación y la terminación de las prácticas de los integrantes del equipo de plataformas. Adicionalmente, se generó un documento para llevar un control sobre las playlist que se van optimizando y en qué estado están. </t>
  </si>
  <si>
    <t>En el tercer trimestre de 2021 se realizó un análisis detellado de caracterización de audiencias para definir de acuerdo a múltiples pilares (informativo, eureka, crónicas, opinión, digital y transmisiones) cómo estaban definidos nuestros públicos de acuerdo a cada plataforma. Este avance representa en un 75 % la ejecución de este indicador, por lo anterior, se considera cumplido el porcentaje establecido para el tercer trimestre.</t>
  </si>
  <si>
    <t>Durante el tercer trimestre se presento indisponibilidad en la señal de Capital, Eureka, Streaming y video en el por fallas en el servicio de internet en el Canal los dias 13, 19, 22,  27 de agosto y los dias 19 y 25 de septiembre, el promedio para el trimeste en la continuidad en la prestacion del servicio es del 99,96%.</t>
  </si>
  <si>
    <t xml:space="preserve">El resultado del tercer trimestre obedecio  a la atencion de requerimientos presentados por la Contraloria de Bogota en el marco de la visita de regularidad PAD 2021 - vigencia evaluada 2020. Se mantendran los seguimientos semanales de actividades de la Oficina de Control Interno para tener el control de la gestion realizada y el cumplimiento de las fechas programadas. </t>
  </si>
  <si>
    <t xml:space="preserve">Se reporta con corte a 31 de agosto. El incremento obtenido del indicador respecto al anterior reporte se da gracias a las mesas de trabajo adelantadas con las areas gestion documental y financiera en el mes de agosto. </t>
  </si>
  <si>
    <t>El resultado reportado para este seguimiento, con corte a 31 de agosto, se da a la socializacion enfocada al cargue y presentacion de informacion para los seguimientos realizados desde la Oficina de Control Internol.</t>
  </si>
  <si>
    <t>En el periodo reportado se logró consolidar el software de gestión documental, conforme los lineamientos y requerimientos inicialmente planteados para su creación. Aun cuando la herramienta es suceptible de mejora continua como en efecto está siendo desarrollada, con base en la necesidad planteada al momento de construir el plan de acción de ha logrado ya el 100% del cometido planteado. La evidencia se traslada al software mismo, el cual se encuentra en la intranet del canal para su verificación.</t>
  </si>
  <si>
    <t xml:space="preserve">Teniendo en cuenta que la revisión y actualización del manual de contratación no abarcó lo relativo a la supervisión e interventoría, se inició para este periodo la actualización de este componente en un documento aparte.  </t>
  </si>
  <si>
    <t>1. El pasado 13 de agosto se llevó a cabo capacitación por parte de la Secretaría Jurídica Distrital respecto del manejo del Sistema Distrital de Asuntos Disciplinarios SID.
2. De otra parte se realizó la creación de usuarios sin embargo, hubo varios inconconvenientes para el ingreso a la herramienta de Sistema Distrital de Asuntos Disciplinarios SID, por lo que en varias ocasiones se envió solicitud a la  Dirección Distrital de Asuntos Disciplinarios para que realizaran el restablecimiento respectivo. 
Posterior a lo anterior, se procedió a la creación y registro de procesos en el Sistema de Información de Procesos Disciplinarios - SID, sin embargo no fue posible, atendiendo a que se requería la creación de un trabajador oficial en el sistema, para poder vincularlo como implicado al momento del registro, para lo cual se envió solicitud mediante correo electrónico el 16 de septiembre y reiteración del 24 de septiembre, pero no se obtuvo respuesta en el mes. 
Para las actividades 3 y 4 no hay avance teniendo en cuenta lo mencionado anteriormente.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50% de avance.</t>
  </si>
  <si>
    <t>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t>
  </si>
  <si>
    <t>Se diligenció el Plan de Acción de la Política Institucional de Servicio al Ciudadano (autoevaluación) con las áreas competentes, el plan de mejoramiento resultado de esa autoevaluación se propondrá para el mes de noviembre con la revisión de Control Interno.</t>
  </si>
  <si>
    <t>Con corte a 30 de septiembre del año en curso los ingresos propios son inferiores en $2.961 millones frente a las obligaciones que se deben cubrir con dichos ingreso; lo anterior obedece al bajo recaudo en el rubro de ventas y servicios. Se espera para el cuarto trimestre alcanzar la meta de recaudo.</t>
  </si>
  <si>
    <t xml:space="preserve">En el tercer trimestre se genero un cumplimiento promedio del 55%, en comparación con los trimestres anteriores este presenta una disminución debido a las medidas tomadas para darle manejo al flujo de caja de la entidad, se dio prioridad a los pagos de las personas naturales, sin dejar de lado el pago a las personas juridicas pero teniendo en cuenta las fechas de vencimientos relacionadas en las facturas y/o en los contratos que por lo generar son superiores al del indicador establecido. En ningún caso se ha superado el plazo establecido en los pagos realizados. </t>
  </si>
  <si>
    <t>Alerta</t>
  </si>
  <si>
    <t xml:space="preserve">En el segundo trimestre se presentó un defícit acumulado a corte de 30 de junio por valor de -$6.079.546.951 esto debido a que los Ingresos no superaron los Costos y Gastos en lo que incurrió el Canal para su normal funcionamiento, es de aclarar que del total de los ingresos acumulados al corte de 30 de junio el porcentaje que representa las Subvenciones recibidas corresponden al 72% del Ingreso total preliminar. Por lo anterior, el indicador no se ha cumplido según lo estipulado en el PAI. </t>
  </si>
  <si>
    <t>A 30 de septiembre de 2021 se obtubo una gestion de cobro 86,25% del total de servicios facturados por venta de servicios al cierre del trimestre y realizando la compraración con el total del recaudo de dichos servicios facturados en el tercer trimestre de 2021  (cabe indicar que este recaudo es bruto, es decir se incluyen los descuentos que realizaron los clientes), quedado una cartera por recolectar de 199.482.205 de los servicios facturados en el ultimo trimestre</t>
  </si>
  <si>
    <t>El día 29 de septiembre de 2021, mediante correo del área de comunicaciones (Boletín No. 33) se publico nuevamente los pasos para el diligenciamiento adecuado de las cuentas de cobro teniendo en cuenta que es el motivo por el cual se genera la mayor parte de las devoluciones de las cuentas de cobro de los contratistas (personas naturales)</t>
  </si>
  <si>
    <t>*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</si>
  <si>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se realizo revisión del listado maestro identificando formatos actualizados, eliminados y creados</t>
  </si>
  <si>
    <t>Se tuvo acercamientos con el área de Sistemas de la Entidad donde se planteó la posibilidad de implementar un solo software de información entre Contabilidad y Almacén, es decir, unirlo con el sistema SIIGO actual de contabilidad. Queda pendiente realizar una reunión con los asesores de SIIGO para validar esta información.</t>
  </si>
  <si>
    <t>Se finaliza con la actividad de impermeabilización de la pared izquierda del imueble, traslada varias oficinas de la calle 26 al inmueble y se adquiere herrajes para las ventanas.</t>
  </si>
  <si>
    <t>Durante este perido se avanzó en actividades de gestión en el marco del plan de acción PIGA tales como capacitaciones en materia de gestión de residuos y gestión de residuos peligrosos, se conformó el equipo de movilidad sostenible y se llevó a cabo la primera reunión del mismo, también se avanzó en la contratación de los diferentes bienes y servicios necesarios para la gestión ambiental de la entidad, por otro lado, se dio continuidad a las mesas de trabajo con el equipo de consumo sostenible y se llevó a cabo una capacitación sobre producción y consumo sostenible con el apoyo de la Secretaría Distrital de Ambientel, por último se adelantaron las inspecciones a las instalaciones de la entidad y se emitieron los diferentes informes con el estado de los sistemas de iluminación, puntos de agua y residuos sólidos.  Se presenta un rezago del 2% asociado con los informes de consumo de recursos que se presentarán en el cuarto trimestre del año</t>
  </si>
  <si>
    <t>Se realizan 18 capacitaciones de 17 que estaban programadas en el cronograma y se realizan 21 capacitaciones que no estaban programadas.</t>
  </si>
  <si>
    <t>De los cuatro items del plan, el punto 1 esta en el 90% que es contrato de pruebas para el proceso de selección. Del punto 2  se actualizó la matriz de peligros y valoración de riesgos esta al 99%.Del punto 3 ya se contrato el profesional y se va iniciar el programa un avance del 20%. Del 4 item. Se realizó la actualización del manual de inducción para contratistas y se envía el kit de bienvenida. Al igual se realiza inducción para los nuevos servidores de planta al 90%.</t>
  </si>
  <si>
    <t>Se realizaron 31 actividades de 28 estipuladas  en el cronograma de plan de bienestar.</t>
  </si>
  <si>
    <t>De acuerdo con el plan de trabajo anual del sistema de gestión de seguridad y salud en el trabajo se adelantaron las siguientes actividades (reuniones mensuales del COPASST, reunión trimestral del CCL, actividades de prevención de contagio covid 19, pausas activas, capacitaciones en seguridad vial, riesgo psicosocial, y manejo de emergencias), se ejecutó la jornada de exámenes médicos ocupacionales periódicos para el personal de planta. El cumplimiento del plan se ha adaptado en concordancia con las diferentes modalidades de trabajo que desarrollan los diferentes equipos de trabajo de la entidad.
A la fecha no se reportan accidentes de trabajo para la vigencia 2021.</t>
  </si>
  <si>
    <t>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</si>
  <si>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Para el periodo reportado, se realizaron las siguientes actividades acorde al plan de seguridad y privacidad de la información 2021:
*Habilitación de política  en el equipo de seguridad perimetral (firewall), para la conexión o acceso remoto por medio de la aplicación VPN (forticlient) a la sede 2 chapinero. 
* Parametrización y configuración de políticas y reglas firewall fortinet 401E: Se configuró política o regla  en el equipo de seguridad perimetral (firewall), para publicar la VLAN 1 con el segmento de red 2801:16:6800:100::/64 y VLAN 504 con el segmento de red 2801:16:6800:200::/64.
* Se diseñó el documento: CATÁLOGO DE SERVICIOS DE TECNOLOGÍAS DE LA INFORMACIÓN, el catálogo de servicio de TI, es elaborado para que los usuarios de Capital conozcan los servicios de TI que actualmente se encuentran implementados y operativos bajo la administración del área de sistemas, así mismo, en el marco de la implementación de la Política de Gobierno Digital: Catálogo de servicios de TI - LI.ES.11 y a las mejores prácticas de la industria de Tecnología de Información (ITIL®).
* Se implementaron medidas preventivas en la infraestructura tecnológica de la entidad, de acuerdo al boletín de seguridad infraestructura critica emitido por el ColCert.</t>
  </si>
  <si>
    <t>Para el periodo reportado, se realizaron las siguientes actividades acorde al plan de tratamiento de riesgos de seguridad y privacidad de la información 2021:
* Se han realizado depuración y seguimiento a las políticas y reglas implementadas en el sistema de firewall fortinet 401E de la entidad.
* Se elaboró la “Matriz de riesgos seguridad digital 2021 V1”, esta se elaboró de acuerdo a la guía de gestión de riesgos del MinTIC y Guía para la administración del riesgo y el diseño de controles en entidades públicas, esta se encuentra en proceso de revisión por parte de la oficina de planeación.
*Se enviaron correos al área de comunicaciones con recomendaciones para evitar el Phishing, Malware y Spam en la información de los usuarios de la entidad, de acuerdo al boletín de seguridad emitido por el Csirt Ponal</t>
  </si>
  <si>
    <r>
      <t xml:space="preserve">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 </t>
    </r>
    <r>
      <rPr>
        <sz val="10"/>
        <color rgb="FF00B050"/>
        <rFont val="Arial"/>
        <family val="2"/>
      </rPr>
      <t>(complementar de acuerdo al % de avances)</t>
    </r>
  </si>
  <si>
    <r>
      <t xml:space="preserve">Se realizó el análisis de información del proyecto MEGAi con Enfoque Naranja y se documentó en el formato dispuesto la lección aprendida frente al proyecto de manera relacionada con temas de innovación y emprendimiento corporativo. </t>
    </r>
    <r>
      <rPr>
        <sz val="10"/>
        <color rgb="FF00B050"/>
        <rFont val="Arial"/>
        <family val="2"/>
      </rPr>
      <t>(complementar de acuerdo al % de avances)</t>
    </r>
  </si>
  <si>
    <r>
      <t xml:space="preserve">Se realizó la documentación completa de la lección aprendida obtenida a partir de la implementación y cierre del proyecto MEGAi con Enfoque Naranja, donde se obtuvieron bases importantes para el desarrollo de estrategias institucionales encaminadas a la innovación pública y la gestión del conocimiento. </t>
    </r>
    <r>
      <rPr>
        <sz val="10"/>
        <color rgb="FF00B050"/>
        <rFont val="Arial"/>
        <family val="2"/>
      </rPr>
      <t>(Falta la información de la segunda lección aprendida documentada)</t>
    </r>
  </si>
  <si>
    <t>Recomendaciones para el PAI 2022</t>
  </si>
  <si>
    <t>1. En el indicador PFI medir el resultado mensual vs la meta esperada a final de la vigencia, para ver la progresión.</t>
  </si>
  <si>
    <t>2. Tener en cuenta el comportamiento de los indicadores (creciente, constante acumulado, etc.).</t>
  </si>
  <si>
    <r>
      <t xml:space="preserve">3. En el indicador PAA, cambiar el termino "recursos ejecutados" por </t>
    </r>
    <r>
      <rPr>
        <b/>
        <sz val="11"/>
        <color theme="1"/>
        <rFont val="Calibri"/>
        <family val="2"/>
        <scheme val="minor"/>
      </rPr>
      <t>"recursos comprometidos".</t>
    </r>
  </si>
  <si>
    <t>5. Corregir reporte en indicador del políticas públicas.</t>
  </si>
  <si>
    <t>Para el tercer trimestre se suscribieron 23 contratos de los cuales 23 cuentan con un Fee mínimo del 8,5% del valor total de contrato.</t>
  </si>
  <si>
    <r>
      <rPr>
        <b/>
        <sz val="10"/>
        <color theme="1"/>
        <rFont val="Arial"/>
        <family val="2"/>
      </rPr>
      <t xml:space="preserve">Gerencia </t>
    </r>
    <r>
      <rPr>
        <sz val="10"/>
        <color theme="1"/>
        <rFont val="Arial"/>
        <family val="2"/>
      </rPr>
      <t xml:space="preserve">
(Planeación, Prensa y Comunicaciones)</t>
    </r>
  </si>
  <si>
    <r>
      <rPr>
        <b/>
        <sz val="10"/>
        <color theme="1"/>
        <rFont val="Arial"/>
        <family val="2"/>
      </rPr>
      <t xml:space="preserve">Dirección Operativa </t>
    </r>
    <r>
      <rPr>
        <sz val="10"/>
        <color theme="1"/>
        <rFont val="Arial"/>
        <family val="2"/>
      </rPr>
      <t xml:space="preserve">
(Coordinación de Producción, Contenidos ciudadanos, proyectos estratégicos, Digital, Coordinación de Programación y Coordinación Técnica)</t>
    </r>
  </si>
  <si>
    <t>Durante el tercer trimestre se presentó un deficit acumulado a corte preliminar del mes de septiembre de 2021 por valor de $4.634.649.163 millones, que equivale al 70% de los aportes sociales del Canal. Este deficit se ha venido presentado a causa del incremento en mayor proporcion de los costos y gastos acumulados los cuales ascienden a $24.190.653.692 en comparacion con los ingresos acumulados equivalentes a $19.556.004.528; sin embargo, de acuerdo con los indicadores financieros se observa que Canal Capital cuenta con un buen flujo de caja para atender las obligaciones del corto plazo. Se recomienda estudiar estrategias que favorezca la generación u obtención de ingresos, asi como racionalizar los costos y gastos, esto con el fin de buscar un punto de equilibrio al finalizar la vigencia y no cerrar el año con déficit muy alto.</t>
  </si>
  <si>
    <t>En el tercer trimestre de 2021, hallamos una disponibilidad de $4,828 millones de pesos mda. Lo anterior significa un aumento en relación al trimestre anterior, ya que se recibió aporte ordinario de la Secretaria de Hacienda por valor total de $5,100 millones de pesos mda.cte.  Los pagos para el trimestre son aproximados a $1,944 millones de pesos mda cte.</t>
  </si>
  <si>
    <t>8. Se deben eliminar indicadores que no generan valor agregado a la gestión (boletines de financiera, por ejemplo)</t>
  </si>
  <si>
    <t>5.1.2 - Solicitar ajuste en el análisis y reporte numérico a talento humano</t>
  </si>
  <si>
    <t>5.5.1 - La fórmula está en % y el reporte en #. Revisar. También se debe dar mayor detalle al análisis.</t>
  </si>
  <si>
    <t>5.5.3 - No es claro si el reporte acumula la gestión de los trimestres anteriores ni se da cuenta del resago que pueda llevar la gestión. Se debe revisar y ajustar, junto con el análisis.</t>
  </si>
  <si>
    <t>5.6.1 al 5.6.4 - Revisar la fórmula vs el reporte y complementar el detalle requerido en el análisis cualitativo.</t>
  </si>
  <si>
    <t>De las actividades del cronograna se han realizado las del tercer trimestre. Las cuales se suben en el drive.</t>
  </si>
  <si>
    <t>5.6.4 - Falta el análisis del primer trimestre</t>
  </si>
  <si>
    <t>Plan de Mejoramiento</t>
  </si>
  <si>
    <t>Plan Anticorrupción y de Atención al Ciudadano - PAAC</t>
  </si>
  <si>
    <t>Se realizo la clasificación, ordenación y organización  de los expedientes del primer periodo asi como el cambio de las unidades de conservación, se realiza el inventario en estado natural de un total de 60 carpetas asi como las cotizaciones para la adquisición de uniddades de conservación para realizar el proceso de transferencias secundarias, se proyecta para el el ultimo trimestre del año 2021 realizar inventario analitico de transferencias secundarias y asi poder programar con el Archivo de Bogota una posible entrega para el año 2022.</t>
  </si>
  <si>
    <t>04 - (07 de diciembre)</t>
  </si>
  <si>
    <t>01 - Consolidar una oferta de contenidos de interés ciudadano en diferentes formatos y plataformas que promuevan la participación de la ciudadanía.</t>
  </si>
  <si>
    <t>02 - Implementar prácticas de innovación en diseño, gestión, producción y circulación de contenidos para el posicionamiento del Sistema de Comunicación Pública en la Bogotá Región y la generación de múltiples audiencias ciudadanas.</t>
  </si>
  <si>
    <t xml:space="preserve">05 - Fortalecer la capacidad organizacional de Capital para ser una empresa transparente, eficiente y sostenible. </t>
  </si>
  <si>
    <t>03 - Generar una cultura digital y de gestión del conocimiento para la optimización de los procesos internos y externos.</t>
  </si>
  <si>
    <t>04 - Consolidar a Capital como una empresa que desarrolla nuevas estrategias de negocios de comunicación pública.</t>
  </si>
  <si>
    <t>05 - Fortalecer la capacidad organizacional de Capital para ser una empresa transparente, eficiente y sostenible.</t>
  </si>
  <si>
    <r>
      <t>Lecciones aprendidas consolidadas</t>
    </r>
    <r>
      <rPr>
        <sz val="10"/>
        <color rgb="FFFF0000"/>
        <rFont val="Arial"/>
        <family val="2"/>
      </rPr>
      <t xml:space="preserve"> </t>
    </r>
    <r>
      <rPr>
        <sz val="10"/>
        <color theme="1"/>
        <rFont val="Arial"/>
        <family val="2"/>
      </rPr>
      <t>a nivel interno.</t>
    </r>
  </si>
  <si>
    <t>Lecciones aprendidas documentadas / Lecciones aprendidas identificadas para documentar.</t>
  </si>
  <si>
    <t>Líder de Proyectos estratégicos</t>
  </si>
  <si>
    <t>Secretaria General</t>
  </si>
  <si>
    <t>Asesor(es) jurídico(s)</t>
  </si>
  <si>
    <t>Auxiliar de Atención al Ciudadano</t>
  </si>
  <si>
    <t>Asesora de planeación.</t>
  </si>
  <si>
    <t>Director Operativo.</t>
  </si>
  <si>
    <t>Coordinador de Programación.</t>
  </si>
  <si>
    <t>Coordinadora de producción - Líder de contenidos de ciudadanía, cultura y educación</t>
  </si>
  <si>
    <t>Subdirectora Administrativa</t>
  </si>
  <si>
    <t>Profesional de Recursos Humanos</t>
  </si>
  <si>
    <t>Subdirección administrativa</t>
  </si>
  <si>
    <t xml:space="preserve">Técnico de Servicio Administrativos </t>
  </si>
  <si>
    <t>Profesional de apoyo de Planeación (referente ambiental)</t>
  </si>
  <si>
    <t>Coordinador de Prensa y Comunicaciones.</t>
  </si>
  <si>
    <t>Contratista Prensa y Comunicaciones.</t>
  </si>
  <si>
    <t>Jefe Oficina de Control Interno</t>
  </si>
  <si>
    <t xml:space="preserve">Contratista Profesional Oficina de Control Interno </t>
  </si>
  <si>
    <t>Subdirector Financiero</t>
  </si>
  <si>
    <t>Profesional de apoyo de Planeación.</t>
  </si>
  <si>
    <t>Profesional de Contabilidad</t>
  </si>
  <si>
    <t>Profesional de Planeación.</t>
  </si>
  <si>
    <t>Profesional de Sistemas</t>
  </si>
  <si>
    <t>Profesional de Presupuesto</t>
  </si>
  <si>
    <t>Profesional de Tesorería</t>
  </si>
  <si>
    <t>Profesional de Facturación</t>
  </si>
  <si>
    <t>Profesional de Jurídica</t>
  </si>
  <si>
    <t>El Plan Anual de Adquisiciones - PAA es la herramienta de planeación institucional a través de la cual se identifican y proyectan las necesidades de productos y servicios requeridos para la correcta operación de la entidad a lo largo de la vigencia y facilita su seguimiento a lo largo del año en términos de verificar el nivel de cumplimiento en la ejecución del presupuesto asignado. 
Con este indicador se pretende establecer el nivel de cumplimiento del PAA respecto a la programación que establece cada área, en su construcción y modificaciones.</t>
  </si>
  <si>
    <t>Garantizar la realización de las actividades propuestas de posicionamiento de la comunicación pública y Capital como socio idóneo.</t>
  </si>
  <si>
    <t>Porcentaje de avance en la ejecución del proyecto que incluya participación ciudadana / meta anual de proyectos audiovisuales que incluyen la participación activa de la ciudadanía</t>
  </si>
  <si>
    <t>Porcentaje de avance en la elaboración del documento de estándares / Porcentaje programado de documentación del estándar de relacionamiento.</t>
  </si>
  <si>
    <t>Porcentaje de avance en la estructuración del estudio de mercado y adquisición / Estudio de mercado y adquisición programados para ejecución</t>
  </si>
  <si>
    <t>Medición de la continuidad del servicio.</t>
  </si>
  <si>
    <t>5. Elaborar informe de cartera.</t>
  </si>
  <si>
    <t>Total Recaudo / Total servicios cobrados al cierre del trimestre acumulado * 100</t>
  </si>
  <si>
    <t>Gestión de la cartera.</t>
  </si>
  <si>
    <t>4. Eliminar o replantear el indicador de PPP (políticas públicas) para la siguiente vigencia.</t>
  </si>
  <si>
    <t>6. Sobre el indicador de continuidad de la señal, aumentar la meta</t>
  </si>
  <si>
    <r>
      <rPr>
        <sz val="10"/>
        <rFont val="Arial"/>
        <family val="2"/>
      </rPr>
      <t>1. Generar resultados con superávit.</t>
    </r>
    <r>
      <rPr>
        <sz val="10"/>
        <color theme="1"/>
        <rFont val="Arial"/>
        <family val="2"/>
      </rPr>
      <t xml:space="preserve">
2.  Eficiencia y oportunidad en el pago de cuentas.
3. Eficiencia y oportunidad en la presentación de información contable
4. Cumplimiento de los tiempos establecidos para la facturación</t>
    </r>
  </si>
  <si>
    <t>9. En los indicadores financieros es necesario revisar el objetivo "1. Generar resultados con superávit. (revisar objetivo)", teniendo en cuenta que la generación de superavit no es responsabilidad total del área financiera. Puede acotarse, por ejemplo, a los rendimientos por excedentes de tesorería.</t>
  </si>
  <si>
    <r>
      <rPr>
        <sz val="10"/>
        <rFont val="Calibri"/>
        <family val="2"/>
      </rPr>
      <t>≤</t>
    </r>
    <r>
      <rPr>
        <sz val="9"/>
        <rFont val="Arial"/>
        <family val="2"/>
      </rPr>
      <t>4</t>
    </r>
  </si>
  <si>
    <t>7. Es necesario un indicador comercial, que mida la generación de ingresos por proyectos estratégicos y venta de productos y servicios de la entidad, frente a la meta de ingresos propuesta.</t>
  </si>
  <si>
    <t>SOBRE LOS REPORTES:</t>
  </si>
  <si>
    <t>1. Indicador 5.1.1 (lecciones aprendidas) complementar análisis cualitativo, en coherencia con los % de avance reportados (tener en cuenta las 2 lecciones aprendidas).</t>
  </si>
  <si>
    <t>2. Indicador 2.1.1 (políticas poblacionales) revisar y ajustar las cifras y reportes.</t>
  </si>
  <si>
    <t>3. Indicador 5.6.4 (plan de integridad), se debe complementar el reporte del primer trimestre.</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</si>
  <si>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t>
  </si>
  <si>
    <t>25% a 40%</t>
  </si>
  <si>
    <t>Coordinadora de producción - Líder del equipo digital</t>
  </si>
  <si>
    <t>Coordinadora área Técnica</t>
  </si>
  <si>
    <t>Porcentaje de avance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</si>
  <si>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 Este indicador  tendra un avance conforme las siguientes etapas:
La expresión diseñado: hará referencia a la estructuración de la propuesta técnica que podria tener el proyecto audiovisual de cocreación.
La expresión producción: hará referencia a la contratación de los elementos que se requieran para la producción del proyecto audiovisual de cocreación.
La expresión circulación: hará referencia a la puesta en pantalla del contenido audiovisual de cocreación, puede incluir el preestreno de al menos un capítulo en el caso de proyectos series</t>
  </si>
  <si>
    <t>Porcentaje de avance en la intervención de las plataformas / Porcentaje programado para 2021 de actividades de rediseño en las plataformas a intervenir (página web y canal de youtube)</t>
  </si>
  <si>
    <t>1. Definir plan de trabajo interno para el rediseño de la página web y el correspondiente a la fortalecimiento del canal de YouTube
2. Ejecutar plan de trabajo de intervención de las plataformas a optimizar
3. Realizar pruebas de QA previo a la salida producción</t>
  </si>
  <si>
    <t>Cumplimiento del porcentaje de avance del proceso definido para la vigencia (suma de las actividades de gestión).</t>
  </si>
  <si>
    <t>Se realizará la medición teniendo en cuenta intervalos de cumplimiento del 25% al 40% del presupuesto total asignado a la Dirección Operativa, será asignado a los llamados públicos.</t>
  </si>
  <si>
    <t>04 - 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t>
  </si>
  <si>
    <t>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t>
  </si>
  <si>
    <t>Diseño de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</si>
</sst>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quot;$&quot;\ * #,##0_-;\-&quot;$&quot;\ * #,##0_-;_-&quot;$&quot;\ * &quot;-&quot;??_-;_-@_-"/>
    <numFmt numFmtId="166" formatCode="0.0%"/>
    <numFmt numFmtId="167" formatCode="0.0"/>
  </numFmts>
  <fonts count="49"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10"/>
      <name val="Arial"/>
      <family val="2"/>
    </font>
    <font>
      <sz val="8"/>
      <color theme="1"/>
      <name val="Arial"/>
      <family val="2"/>
    </font>
    <font>
      <sz val="11"/>
      <color theme="1"/>
      <name val="Arial"/>
      <family val="2"/>
    </font>
    <font>
      <b/>
      <sz val="8"/>
      <color theme="1"/>
      <name val="Arial"/>
      <family val="2"/>
    </font>
    <font>
      <sz val="8"/>
      <name val="Calibri"/>
      <family val="2"/>
      <scheme val="minor"/>
    </font>
    <font>
      <sz val="10"/>
      <color rgb="FF00B050"/>
      <name val="Arial"/>
      <family val="2"/>
    </font>
    <font>
      <sz val="10"/>
      <name val="Calibri"/>
      <family val="2"/>
    </font>
    <font>
      <sz val="9"/>
      <name val="Arial"/>
      <family val="2"/>
    </font>
  </fonts>
  <fills count="1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43" fillId="0" borderId="0"/>
    <xf numFmtId="9" fontId="43" fillId="0" borderId="0" applyFont="0" applyFill="0" applyBorder="0" applyAlignment="0" applyProtection="0"/>
  </cellStyleXfs>
  <cellXfs count="885">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165" fontId="3" fillId="0" borderId="24" xfId="1" applyNumberFormat="1" applyFont="1" applyFill="1" applyBorder="1" applyAlignment="1">
      <alignment horizontal="center" vertical="center" wrapText="1"/>
    </xf>
    <xf numFmtId="165" fontId="3" fillId="0" borderId="22" xfId="1" applyNumberFormat="1" applyFont="1" applyFill="1" applyBorder="1" applyAlignment="1">
      <alignment horizontal="center" vertical="center" wrapText="1"/>
    </xf>
    <xf numFmtId="0" fontId="3" fillId="0" borderId="25" xfId="0" applyFont="1" applyBorder="1" applyAlignment="1">
      <alignment horizontal="left" vertical="center" wrapText="1"/>
    </xf>
    <xf numFmtId="0" fontId="8" fillId="2" borderId="22"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9" fontId="9" fillId="2" borderId="22" xfId="0" applyNumberFormat="1"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165" fontId="8" fillId="2" borderId="24" xfId="1" applyNumberFormat="1" applyFont="1" applyFill="1" applyBorder="1" applyAlignment="1">
      <alignment horizontal="center" vertical="center" wrapText="1"/>
    </xf>
    <xf numFmtId="165" fontId="8" fillId="2" borderId="22" xfId="1" applyNumberFormat="1" applyFont="1" applyFill="1" applyBorder="1" applyAlignment="1">
      <alignment horizontal="center" vertical="center" wrapText="1"/>
    </xf>
    <xf numFmtId="0" fontId="9" fillId="2" borderId="25" xfId="0" applyFont="1" applyFill="1" applyBorder="1" applyAlignment="1">
      <alignment horizontal="left" vertical="center" wrapText="1"/>
    </xf>
    <xf numFmtId="0" fontId="3" fillId="2" borderId="0" xfId="0" applyFont="1" applyFill="1"/>
    <xf numFmtId="10" fontId="3" fillId="0" borderId="23" xfId="0" applyNumberFormat="1" applyFont="1" applyBorder="1" applyAlignment="1">
      <alignment horizontal="center" vertical="center" wrapText="1"/>
    </xf>
    <xf numFmtId="9" fontId="3" fillId="0" borderId="24" xfId="0" applyNumberFormat="1" applyFont="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0" fontId="8" fillId="0" borderId="25" xfId="0" applyFont="1" applyBorder="1" applyAlignment="1">
      <alignment horizontal="left" vertical="center" wrapText="1"/>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9" fontId="8" fillId="0" borderId="23" xfId="0" applyNumberFormat="1" applyFont="1" applyBorder="1" applyAlignment="1">
      <alignment horizontal="center" vertical="center" wrapText="1"/>
    </xf>
    <xf numFmtId="9" fontId="8" fillId="0" borderId="24"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165" fontId="8" fillId="0" borderId="24" xfId="1" applyNumberFormat="1" applyFont="1" applyBorder="1" applyAlignment="1">
      <alignment horizontal="center" vertical="center" wrapText="1"/>
    </xf>
    <xf numFmtId="165" fontId="8" fillId="0" borderId="22" xfId="1" applyNumberFormat="1" applyFont="1" applyBorder="1" applyAlignment="1">
      <alignment horizontal="center" vertical="center" wrapText="1"/>
    </xf>
    <xf numFmtId="165" fontId="8" fillId="0" borderId="24" xfId="1" applyNumberFormat="1" applyFont="1" applyFill="1" applyBorder="1" applyAlignment="1">
      <alignment horizontal="center" vertical="center" wrapText="1"/>
    </xf>
    <xf numFmtId="165" fontId="8" fillId="0" borderId="22" xfId="1" applyNumberFormat="1" applyFont="1" applyFill="1" applyBorder="1" applyAlignment="1">
      <alignment horizontal="center" vertical="center" wrapText="1"/>
    </xf>
    <xf numFmtId="9" fontId="3" fillId="0" borderId="24" xfId="0" applyNumberFormat="1" applyFont="1" applyBorder="1" applyAlignment="1">
      <alignment horizontal="center" vertical="center"/>
    </xf>
    <xf numFmtId="9" fontId="3" fillId="0" borderId="25" xfId="0" applyNumberFormat="1" applyFont="1" applyBorder="1" applyAlignment="1">
      <alignment horizontal="center" vertical="center"/>
    </xf>
    <xf numFmtId="0" fontId="3" fillId="0" borderId="23" xfId="0" applyFont="1" applyBorder="1" applyAlignment="1">
      <alignment horizontal="center" vertical="center"/>
    </xf>
    <xf numFmtId="1" fontId="3" fillId="0" borderId="22" xfId="0" applyNumberFormat="1" applyFont="1" applyBorder="1" applyAlignment="1">
      <alignment horizontal="center" vertical="center"/>
    </xf>
    <xf numFmtId="1" fontId="3" fillId="0" borderId="25" xfId="0" applyNumberFormat="1" applyFont="1" applyBorder="1" applyAlignment="1">
      <alignment horizontal="center" vertical="center"/>
    </xf>
    <xf numFmtId="9" fontId="3" fillId="0" borderId="24" xfId="2" applyFont="1" applyBorder="1" applyAlignment="1">
      <alignment horizontal="center" vertical="center"/>
    </xf>
    <xf numFmtId="9" fontId="3" fillId="0" borderId="25" xfId="2" applyFont="1" applyBorder="1" applyAlignment="1">
      <alignment horizontal="center" vertical="center"/>
    </xf>
    <xf numFmtId="0" fontId="8" fillId="2" borderId="23" xfId="0" applyFont="1" applyFill="1" applyBorder="1" applyAlignment="1">
      <alignment horizontal="center" vertical="center"/>
    </xf>
    <xf numFmtId="9" fontId="8" fillId="2" borderId="24" xfId="0" applyNumberFormat="1" applyFont="1" applyFill="1" applyBorder="1" applyAlignment="1">
      <alignment horizontal="center" vertical="center"/>
    </xf>
    <xf numFmtId="9" fontId="8" fillId="2" borderId="22" xfId="0" applyNumberFormat="1" applyFont="1" applyFill="1" applyBorder="1" applyAlignment="1">
      <alignment horizontal="center" vertical="center"/>
    </xf>
    <xf numFmtId="9" fontId="8" fillId="2" borderId="25" xfId="0" applyNumberFormat="1" applyFont="1" applyFill="1" applyBorder="1" applyAlignment="1">
      <alignment horizontal="center" vertical="center"/>
    </xf>
    <xf numFmtId="165" fontId="8" fillId="2" borderId="24" xfId="1" applyNumberFormat="1" applyFont="1" applyFill="1" applyBorder="1" applyAlignment="1">
      <alignment horizontal="center" vertical="center"/>
    </xf>
    <xf numFmtId="165" fontId="8" fillId="2" borderId="22" xfId="1" applyNumberFormat="1" applyFont="1" applyFill="1" applyBorder="1" applyAlignment="1">
      <alignment horizontal="center" vertical="center"/>
    </xf>
    <xf numFmtId="0" fontId="8" fillId="2" borderId="24"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xf numFmtId="0" fontId="3" fillId="2" borderId="22" xfId="0" applyFont="1" applyFill="1" applyBorder="1" applyAlignment="1">
      <alignment horizontal="left" vertical="center" wrapText="1"/>
    </xf>
    <xf numFmtId="0" fontId="8" fillId="2" borderId="23" xfId="0" applyFont="1" applyFill="1" applyBorder="1" applyAlignment="1">
      <alignment horizontal="center" vertical="center" wrapText="1"/>
    </xf>
    <xf numFmtId="9" fontId="8" fillId="2" borderId="24" xfId="0" applyNumberFormat="1" applyFont="1" applyFill="1" applyBorder="1" applyAlignment="1">
      <alignment horizontal="center" vertical="center" wrapText="1"/>
    </xf>
    <xf numFmtId="9" fontId="8" fillId="2" borderId="22" xfId="0" applyNumberFormat="1"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165" fontId="3" fillId="2" borderId="24" xfId="1" applyNumberFormat="1" applyFont="1" applyFill="1" applyBorder="1" applyAlignment="1">
      <alignment horizontal="center" vertical="center" wrapText="1"/>
    </xf>
    <xf numFmtId="0" fontId="3" fillId="2" borderId="25" xfId="0" applyFont="1" applyFill="1" applyBorder="1" applyAlignment="1">
      <alignment horizontal="left" vertical="center" wrapText="1"/>
    </xf>
    <xf numFmtId="165" fontId="3" fillId="2" borderId="22" xfId="1" applyNumberFormat="1" applyFont="1" applyFill="1" applyBorder="1" applyAlignment="1">
      <alignment horizontal="center" vertical="center" wrapText="1"/>
    </xf>
    <xf numFmtId="0" fontId="3" fillId="0" borderId="22" xfId="0" applyFont="1" applyBorder="1" applyAlignment="1">
      <alignment vertical="center" wrapText="1"/>
    </xf>
    <xf numFmtId="9" fontId="8" fillId="2" borderId="23" xfId="0" applyNumberFormat="1" applyFont="1" applyFill="1" applyBorder="1" applyAlignment="1">
      <alignment horizontal="center" vertical="center" wrapText="1"/>
    </xf>
    <xf numFmtId="9" fontId="3" fillId="2" borderId="24"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165" fontId="9" fillId="2" borderId="22" xfId="1"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0" xfId="0" applyFont="1" applyFill="1" applyAlignment="1">
      <alignment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14" xfId="0" applyFont="1" applyBorder="1"/>
    <xf numFmtId="0" fontId="3" fillId="0" borderId="15" xfId="0" applyFont="1" applyBorder="1"/>
    <xf numFmtId="0" fontId="3" fillId="0" borderId="15" xfId="0" applyFont="1" applyBorder="1" applyAlignment="1">
      <alignment horizontal="center"/>
    </xf>
    <xf numFmtId="0" fontId="3" fillId="0" borderId="17" xfId="0" applyFont="1" applyBorder="1"/>
    <xf numFmtId="0" fontId="3" fillId="0" borderId="16" xfId="0" applyFont="1" applyBorder="1"/>
    <xf numFmtId="165" fontId="3" fillId="0" borderId="14" xfId="1" applyNumberFormat="1" applyFont="1" applyBorder="1" applyAlignment="1">
      <alignment horizontal="center" vertical="center"/>
    </xf>
    <xf numFmtId="165" fontId="3" fillId="0" borderId="15"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5"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4" xfId="4" applyFont="1" applyBorder="1" applyAlignment="1">
      <alignment horizontal="center" vertical="center" wrapText="1"/>
    </xf>
    <xf numFmtId="0" fontId="16" fillId="0" borderId="22" xfId="4" applyFont="1" applyBorder="1" applyAlignment="1">
      <alignment horizontal="left" vertical="center" wrapText="1"/>
    </xf>
    <xf numFmtId="0" fontId="16" fillId="0" borderId="22" xfId="4" applyFont="1" applyBorder="1" applyAlignment="1" applyProtection="1">
      <alignment horizontal="left" vertical="center" wrapText="1"/>
      <protection locked="0"/>
    </xf>
    <xf numFmtId="0" fontId="16" fillId="0" borderId="22"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4" xfId="4" applyFont="1" applyBorder="1" applyAlignment="1">
      <alignment horizontal="center" vertical="center" wrapText="1"/>
    </xf>
    <xf numFmtId="0" fontId="16" fillId="0" borderId="15" xfId="4" applyFont="1" applyBorder="1" applyAlignment="1">
      <alignment horizontal="left" vertical="center" wrapText="1"/>
    </xf>
    <xf numFmtId="0" fontId="16" fillId="0" borderId="15" xfId="4" applyFont="1" applyBorder="1" applyAlignment="1" applyProtection="1">
      <alignment horizontal="left" vertical="center" wrapText="1"/>
      <protection locked="0"/>
    </xf>
    <xf numFmtId="0" fontId="16" fillId="0" borderId="15"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7" xfId="3" applyFont="1" applyFill="1" applyBorder="1" applyAlignment="1">
      <alignment horizontal="center" vertical="center"/>
    </xf>
    <xf numFmtId="0" fontId="20" fillId="2" borderId="27" xfId="3" applyFont="1" applyFill="1" applyBorder="1" applyAlignment="1">
      <alignment horizontal="center" vertical="center"/>
    </xf>
    <xf numFmtId="0" fontId="19" fillId="2" borderId="27"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3" xfId="3" applyBorder="1" applyAlignment="1">
      <alignment horizontal="center" vertical="center" wrapText="1"/>
    </xf>
    <xf numFmtId="0" fontId="11" fillId="0" borderId="24" xfId="3" applyBorder="1" applyAlignment="1">
      <alignment horizontal="center" vertical="center" wrapText="1"/>
    </xf>
    <xf numFmtId="0" fontId="11" fillId="0" borderId="22" xfId="3" applyBorder="1" applyAlignment="1" applyProtection="1">
      <alignment horizontal="center" vertical="center" wrapText="1"/>
      <protection locked="0"/>
    </xf>
    <xf numFmtId="0" fontId="11" fillId="0" borderId="22" xfId="3" applyBorder="1" applyAlignment="1">
      <alignment horizontal="center" vertical="center" wrapText="1"/>
    </xf>
    <xf numFmtId="9" fontId="11" fillId="0" borderId="22" xfId="3" applyNumberFormat="1" applyBorder="1" applyAlignment="1">
      <alignment horizontal="center" vertical="center" wrapText="1"/>
    </xf>
    <xf numFmtId="14" fontId="11" fillId="0" borderId="22" xfId="3" applyNumberFormat="1" applyBorder="1" applyAlignment="1">
      <alignment horizontal="center" vertical="center" wrapText="1"/>
    </xf>
    <xf numFmtId="0" fontId="11" fillId="0" borderId="25" xfId="3" applyBorder="1" applyAlignment="1">
      <alignment horizontal="center" vertical="center" wrapText="1"/>
    </xf>
    <xf numFmtId="0" fontId="11" fillId="0" borderId="14" xfId="3" applyBorder="1" applyAlignment="1">
      <alignment horizontal="center" vertical="center" wrapText="1"/>
    </xf>
    <xf numFmtId="0" fontId="11" fillId="0" borderId="15" xfId="3" applyBorder="1" applyAlignment="1" applyProtection="1">
      <alignment horizontal="left" vertical="center" wrapText="1"/>
      <protection locked="0"/>
    </xf>
    <xf numFmtId="0" fontId="11" fillId="0" borderId="15" xfId="3" applyBorder="1" applyAlignment="1">
      <alignment horizontal="left" vertical="center" wrapText="1"/>
    </xf>
    <xf numFmtId="0" fontId="11" fillId="0" borderId="15" xfId="3" applyBorder="1" applyAlignment="1">
      <alignment horizontal="center" vertical="center" wrapText="1"/>
    </xf>
    <xf numFmtId="14" fontId="11" fillId="0" borderId="15" xfId="3" applyNumberFormat="1" applyBorder="1" applyAlignment="1">
      <alignment horizontal="center" vertical="center" wrapText="1"/>
    </xf>
    <xf numFmtId="9" fontId="11" fillId="0" borderId="15" xfId="3" applyNumberFormat="1" applyBorder="1" applyAlignment="1">
      <alignment horizontal="center" vertical="center" wrapText="1"/>
    </xf>
    <xf numFmtId="0" fontId="11" fillId="0" borderId="16"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4" xfId="3" applyFont="1" applyFill="1" applyBorder="1" applyAlignment="1">
      <alignment horizontal="center" vertical="center" wrapText="1"/>
    </xf>
    <xf numFmtId="14" fontId="8" fillId="5" borderId="25" xfId="3" applyNumberFormat="1" applyFont="1" applyFill="1" applyBorder="1" applyAlignment="1">
      <alignment horizontal="center" vertical="center" wrapText="1"/>
    </xf>
    <xf numFmtId="0" fontId="11" fillId="2" borderId="14" xfId="3" applyFill="1" applyBorder="1" applyAlignment="1" applyProtection="1">
      <alignment horizontal="center" vertical="center" wrapText="1"/>
      <protection locked="0"/>
    </xf>
    <xf numFmtId="0" fontId="11" fillId="2" borderId="16"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3" xfId="3" applyBorder="1" applyAlignment="1">
      <alignment horizontal="left" vertical="center" wrapText="1"/>
    </xf>
    <xf numFmtId="0" fontId="11" fillId="0" borderId="22" xfId="3" applyBorder="1" applyAlignment="1" applyProtection="1">
      <alignment horizontal="left" vertical="center" wrapText="1"/>
      <protection locked="0"/>
    </xf>
    <xf numFmtId="0" fontId="11" fillId="0" borderId="22" xfId="3" applyBorder="1" applyAlignment="1">
      <alignment horizontal="left" vertical="center" wrapText="1"/>
    </xf>
    <xf numFmtId="0" fontId="11" fillId="0" borderId="25" xfId="3" applyBorder="1" applyAlignment="1">
      <alignment horizontal="left" vertical="center" wrapText="1"/>
    </xf>
    <xf numFmtId="0" fontId="19" fillId="5" borderId="0" xfId="3" applyFont="1" applyFill="1" applyAlignment="1">
      <alignment vertical="center"/>
    </xf>
    <xf numFmtId="0" fontId="19" fillId="5" borderId="39" xfId="3" applyFont="1" applyFill="1" applyBorder="1" applyAlignment="1">
      <alignment horizontal="center" vertical="center"/>
    </xf>
    <xf numFmtId="0" fontId="20" fillId="5" borderId="39" xfId="3" applyFont="1" applyFill="1" applyBorder="1" applyAlignment="1">
      <alignment horizontal="center" vertical="center"/>
    </xf>
    <xf numFmtId="0" fontId="19" fillId="5" borderId="39"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3" xfId="3" applyFont="1" applyBorder="1" applyAlignment="1">
      <alignment horizontal="center" vertical="center" wrapText="1"/>
    </xf>
    <xf numFmtId="0" fontId="8" fillId="0" borderId="24" xfId="3" applyFont="1" applyBorder="1" applyAlignment="1">
      <alignment horizontal="center" vertical="center" wrapText="1"/>
    </xf>
    <xf numFmtId="0" fontId="8" fillId="0" borderId="22" xfId="3" applyFont="1" applyBorder="1" applyAlignment="1">
      <alignment horizontal="center" vertical="center" wrapText="1"/>
    </xf>
    <xf numFmtId="9" fontId="8" fillId="0" borderId="22" xfId="3" applyNumberFormat="1" applyFont="1" applyBorder="1" applyAlignment="1">
      <alignment horizontal="center" vertical="center" wrapText="1"/>
    </xf>
    <xf numFmtId="14" fontId="8" fillId="0" borderId="22" xfId="3" applyNumberFormat="1" applyFont="1" applyBorder="1" applyAlignment="1">
      <alignment horizontal="center" vertical="center" wrapText="1"/>
    </xf>
    <xf numFmtId="0" fontId="8" fillId="0" borderId="25"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15" xfId="3" applyFont="1" applyBorder="1" applyAlignment="1">
      <alignment horizontal="center" vertical="center" wrapText="1"/>
    </xf>
    <xf numFmtId="14" fontId="8" fillId="0" borderId="15" xfId="3" applyNumberFormat="1" applyFont="1" applyBorder="1" applyAlignment="1">
      <alignment horizontal="center" vertical="center" wrapText="1"/>
    </xf>
    <xf numFmtId="0" fontId="8" fillId="0" borderId="16"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4" xfId="3" applyFont="1" applyFill="1" applyBorder="1" applyAlignment="1">
      <alignment horizontal="center" vertical="center" wrapText="1"/>
    </xf>
    <xf numFmtId="0" fontId="8" fillId="5" borderId="16"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2"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3" xfId="3" applyFont="1" applyFill="1" applyBorder="1" applyAlignment="1">
      <alignment horizontal="center" vertical="center" wrapText="1"/>
    </xf>
    <xf numFmtId="0" fontId="11" fillId="2" borderId="22" xfId="0" applyFont="1" applyFill="1" applyBorder="1" applyAlignment="1">
      <alignment horizontal="center" vertical="center" wrapText="1"/>
    </xf>
    <xf numFmtId="0" fontId="3" fillId="2" borderId="22" xfId="0" applyFont="1" applyFill="1" applyBorder="1" applyAlignment="1">
      <alignment horizontal="center" vertical="center" wrapText="1"/>
    </xf>
    <xf numFmtId="14" fontId="8" fillId="2" borderId="22" xfId="3" applyNumberFormat="1" applyFont="1" applyFill="1" applyBorder="1" applyAlignment="1">
      <alignment horizontal="center" vertical="center" wrapText="1"/>
    </xf>
    <xf numFmtId="0" fontId="8" fillId="2" borderId="25" xfId="3" applyFont="1" applyFill="1" applyBorder="1" applyAlignment="1">
      <alignment horizontal="center" vertical="center" wrapText="1"/>
    </xf>
    <xf numFmtId="0" fontId="8" fillId="0" borderId="15" xfId="3" applyFont="1" applyBorder="1" applyAlignment="1">
      <alignment horizontal="left" vertical="center" wrapText="1"/>
    </xf>
    <xf numFmtId="0" fontId="13" fillId="7" borderId="24" xfId="4" applyFont="1" applyFill="1" applyBorder="1" applyAlignment="1">
      <alignment horizontal="center" vertical="center" wrapText="1"/>
    </xf>
    <xf numFmtId="0" fontId="13" fillId="7" borderId="22" xfId="4" applyFont="1" applyFill="1" applyBorder="1" applyAlignment="1" applyProtection="1">
      <alignment horizontal="center" vertical="center" wrapText="1"/>
      <protection locked="0"/>
    </xf>
    <xf numFmtId="0" fontId="13" fillId="7" borderId="22" xfId="4" applyFont="1" applyFill="1" applyBorder="1" applyAlignment="1" applyProtection="1">
      <alignment horizontal="left" vertical="center" wrapText="1"/>
      <protection locked="0"/>
    </xf>
    <xf numFmtId="0" fontId="15" fillId="6" borderId="22" xfId="3" applyFont="1" applyFill="1" applyBorder="1" applyAlignment="1">
      <alignment vertical="center" wrapText="1"/>
    </xf>
    <xf numFmtId="0" fontId="15" fillId="6" borderId="15" xfId="3" applyFont="1" applyFill="1" applyBorder="1" applyAlignment="1">
      <alignment horizontal="center" vertical="center" wrapText="1"/>
    </xf>
    <xf numFmtId="0" fontId="30" fillId="6" borderId="24" xfId="3" applyFont="1" applyFill="1" applyBorder="1" applyAlignment="1" applyProtection="1">
      <alignment horizontal="center" vertical="center" wrapText="1"/>
      <protection locked="0"/>
    </xf>
    <xf numFmtId="0" fontId="30" fillId="6" borderId="25" xfId="3" applyFont="1" applyFill="1" applyBorder="1" applyAlignment="1">
      <alignment horizontal="center" vertical="center" wrapText="1"/>
    </xf>
    <xf numFmtId="0" fontId="15" fillId="6" borderId="22" xfId="3" applyFont="1" applyFill="1" applyBorder="1" applyAlignment="1">
      <alignment horizontal="center" vertical="center" wrapText="1"/>
    </xf>
    <xf numFmtId="0" fontId="35" fillId="8" borderId="22" xfId="3" applyFont="1" applyFill="1" applyBorder="1" applyAlignment="1">
      <alignment horizontal="center" vertical="center" wrapText="1"/>
    </xf>
    <xf numFmtId="0" fontId="35" fillId="8" borderId="15" xfId="3" applyFont="1" applyFill="1" applyBorder="1" applyAlignment="1">
      <alignment horizontal="center" vertical="center" wrapText="1"/>
    </xf>
    <xf numFmtId="0" fontId="35" fillId="9" borderId="24"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8" borderId="22" xfId="3" applyFont="1" applyFill="1" applyBorder="1" applyAlignment="1">
      <alignment vertical="center" wrapText="1"/>
    </xf>
    <xf numFmtId="10" fontId="35" fillId="10" borderId="15" xfId="3" applyNumberFormat="1" applyFont="1" applyFill="1" applyBorder="1" applyAlignment="1">
      <alignment horizontal="center" vertical="center" wrapText="1"/>
    </xf>
    <xf numFmtId="10" fontId="15" fillId="11" borderId="15"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2" xfId="0" applyBorder="1" applyAlignment="1">
      <alignment horizontal="center" vertical="center"/>
    </xf>
    <xf numFmtId="0" fontId="39" fillId="4" borderId="22" xfId="0" applyFont="1" applyFill="1" applyBorder="1" applyAlignment="1">
      <alignment vertical="center"/>
    </xf>
    <xf numFmtId="0" fontId="39" fillId="4" borderId="23" xfId="0" applyFont="1" applyFill="1" applyBorder="1" applyAlignment="1">
      <alignment wrapText="1"/>
    </xf>
    <xf numFmtId="0" fontId="0" fillId="0" borderId="23" xfId="0" applyBorder="1" applyAlignment="1">
      <alignment wrapText="1"/>
    </xf>
    <xf numFmtId="0" fontId="39" fillId="4" borderId="22" xfId="0" applyFont="1" applyFill="1" applyBorder="1"/>
    <xf numFmtId="0" fontId="0" fillId="0" borderId="23" xfId="0" applyBorder="1" applyAlignment="1">
      <alignment vertical="center" wrapText="1"/>
    </xf>
    <xf numFmtId="0" fontId="0" fillId="0" borderId="22"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3"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4" fillId="2" borderId="24" xfId="0" applyFont="1" applyFill="1" applyBorder="1" applyAlignment="1">
      <alignment horizontal="right" vertical="center" wrapText="1"/>
    </xf>
    <xf numFmtId="0" fontId="8"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4"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5" fillId="6" borderId="22"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2"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4" xfId="4" applyNumberFormat="1" applyFont="1" applyFill="1" applyBorder="1" applyAlignment="1">
      <alignment horizontal="center" vertical="center" wrapText="1"/>
    </xf>
    <xf numFmtId="17" fontId="30" fillId="12" borderId="22"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0" fontId="15" fillId="6" borderId="46" xfId="3" applyFont="1" applyFill="1" applyBorder="1" applyAlignment="1">
      <alignment horizontal="center" vertical="center" wrapText="1"/>
    </xf>
    <xf numFmtId="0" fontId="15" fillId="6" borderId="47" xfId="3" applyFont="1" applyFill="1" applyBorder="1" applyAlignment="1">
      <alignment horizontal="center" vertical="center" wrapText="1"/>
    </xf>
    <xf numFmtId="10" fontId="15" fillId="12" borderId="14" xfId="3" applyNumberFormat="1"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7" xfId="3" applyNumberFormat="1" applyFont="1" applyFill="1" applyBorder="1" applyAlignment="1">
      <alignment horizontal="center" vertical="center" wrapText="1"/>
    </xf>
    <xf numFmtId="10" fontId="30" fillId="12" borderId="48" xfId="4" applyNumberFormat="1" applyFont="1" applyFill="1" applyBorder="1" applyAlignment="1">
      <alignment horizontal="center" vertical="center"/>
    </xf>
    <xf numFmtId="9" fontId="4" fillId="7" borderId="23" xfId="5" applyFont="1" applyFill="1" applyBorder="1" applyAlignment="1" applyProtection="1">
      <alignment horizontal="center" vertical="center" wrapText="1"/>
    </xf>
    <xf numFmtId="14" fontId="13" fillId="7" borderId="24" xfId="5" applyNumberFormat="1"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0" fontId="13" fillId="13" borderId="44" xfId="4" applyNumberFormat="1" applyFont="1" applyFill="1" applyBorder="1" applyAlignment="1">
      <alignment horizontal="center" vertical="center"/>
    </xf>
    <xf numFmtId="9" fontId="16" fillId="0" borderId="23" xfId="5" applyFont="1" applyFill="1" applyBorder="1" applyAlignment="1" applyProtection="1">
      <alignment horizontal="center" vertical="center" wrapText="1"/>
    </xf>
    <xf numFmtId="14" fontId="16" fillId="0" borderId="24" xfId="5" applyNumberFormat="1"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0" fontId="8" fillId="2" borderId="44" xfId="4" applyNumberFormat="1" applyFill="1" applyBorder="1" applyAlignment="1">
      <alignment horizontal="center" vertical="center"/>
    </xf>
    <xf numFmtId="0" fontId="13" fillId="0" borderId="0" xfId="4" applyFont="1" applyAlignment="1">
      <alignment vertical="center"/>
    </xf>
    <xf numFmtId="9" fontId="13" fillId="7" borderId="23" xfId="5" applyFont="1" applyFill="1" applyBorder="1" applyAlignment="1" applyProtection="1">
      <alignment horizontal="center" vertical="center" wrapText="1"/>
    </xf>
    <xf numFmtId="0" fontId="16" fillId="2" borderId="22" xfId="4" applyFont="1" applyFill="1" applyBorder="1" applyAlignment="1">
      <alignment horizontal="left" vertical="center" wrapText="1"/>
    </xf>
    <xf numFmtId="0" fontId="16" fillId="2" borderId="22" xfId="4" applyFont="1" applyFill="1" applyBorder="1" applyAlignment="1" applyProtection="1">
      <alignment horizontal="left" vertical="center" wrapText="1"/>
      <protection locked="0"/>
    </xf>
    <xf numFmtId="0" fontId="16" fillId="2" borderId="22" xfId="4" applyFont="1" applyFill="1" applyBorder="1" applyAlignment="1" applyProtection="1">
      <alignment horizontal="center" vertical="center" wrapText="1"/>
      <protection locked="0"/>
    </xf>
    <xf numFmtId="9" fontId="16" fillId="2" borderId="23" xfId="5" applyFont="1" applyFill="1" applyBorder="1" applyAlignment="1" applyProtection="1">
      <alignment horizontal="center" vertical="center" wrapText="1"/>
    </xf>
    <xf numFmtId="14" fontId="16" fillId="2" borderId="24" xfId="5" applyNumberFormat="1"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0" fontId="8" fillId="0" borderId="44" xfId="4" applyNumberFormat="1" applyBorder="1" applyAlignment="1">
      <alignment horizontal="center" vertical="center"/>
    </xf>
    <xf numFmtId="9" fontId="16" fillId="0" borderId="17" xfId="5" applyFont="1" applyFill="1" applyBorder="1" applyAlignment="1" applyProtection="1">
      <alignment horizontal="center" vertical="center" wrapText="1"/>
    </xf>
    <xf numFmtId="14" fontId="16" fillId="0" borderId="14" xfId="5" applyNumberFormat="1" applyFont="1" applyFill="1" applyBorder="1" applyAlignment="1" applyProtection="1">
      <alignment horizontal="center" vertical="center" wrapText="1"/>
    </xf>
    <xf numFmtId="14" fontId="16" fillId="0" borderId="16" xfId="5" applyNumberFormat="1" applyFont="1" applyFill="1" applyBorder="1" applyAlignment="1" applyProtection="1">
      <alignment horizontal="center" vertical="center" wrapText="1"/>
    </xf>
    <xf numFmtId="10" fontId="8" fillId="2" borderId="48"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10" fontId="15" fillId="4" borderId="15"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5" xfId="6" applyFont="1" applyFill="1" applyBorder="1" applyAlignment="1" applyProtection="1">
      <alignment horizontal="center" vertical="center" wrapText="1"/>
    </xf>
    <xf numFmtId="0" fontId="30" fillId="6" borderId="14" xfId="3" applyFont="1" applyFill="1" applyBorder="1" applyAlignment="1" applyProtection="1">
      <alignment horizontal="center" vertical="center" wrapText="1"/>
      <protection locked="0"/>
    </xf>
    <xf numFmtId="0" fontId="30" fillId="6" borderId="16"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3" xfId="3"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8" fillId="0" borderId="44" xfId="0" applyFont="1" applyBorder="1" applyAlignment="1">
      <alignment horizontal="center" vertical="center" wrapText="1"/>
    </xf>
    <xf numFmtId="0" fontId="3" fillId="2" borderId="44"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4" xfId="0" applyFont="1" applyBorder="1" applyAlignment="1">
      <alignment horizontal="center" vertical="center" wrapText="1"/>
    </xf>
    <xf numFmtId="0" fontId="8" fillId="2" borderId="44"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Border="1" applyAlignment="1">
      <alignment vertical="center"/>
    </xf>
    <xf numFmtId="0" fontId="8" fillId="2" borderId="21" xfId="0" applyFont="1" applyFill="1" applyBorder="1" applyAlignment="1">
      <alignment vertical="center" wrapText="1"/>
    </xf>
    <xf numFmtId="0" fontId="8" fillId="2" borderId="22" xfId="0" applyFont="1" applyFill="1" applyBorder="1" applyAlignment="1">
      <alignment vertical="center" wrapText="1"/>
    </xf>
    <xf numFmtId="0" fontId="9" fillId="2" borderId="22" xfId="0" applyFont="1" applyFill="1" applyBorder="1" applyAlignment="1">
      <alignment vertical="center" wrapText="1"/>
    </xf>
    <xf numFmtId="0" fontId="3" fillId="2" borderId="21" xfId="0" applyFont="1" applyFill="1" applyBorder="1" applyAlignment="1">
      <alignment vertical="center" wrapText="1"/>
    </xf>
    <xf numFmtId="0" fontId="9" fillId="2" borderId="21" xfId="0" applyFont="1" applyFill="1" applyBorder="1" applyAlignment="1">
      <alignment vertical="center" wrapText="1"/>
    </xf>
    <xf numFmtId="0" fontId="3" fillId="0" borderId="22" xfId="0" applyFont="1" applyFill="1" applyBorder="1" applyAlignment="1">
      <alignment vertical="center" wrapText="1"/>
    </xf>
    <xf numFmtId="9" fontId="3" fillId="0" borderId="22" xfId="2" applyFont="1" applyFill="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42"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3" fillId="0" borderId="22" xfId="0" applyFont="1" applyBorder="1" applyAlignment="1">
      <alignment horizontal="left" vertical="center" wrapText="1"/>
    </xf>
    <xf numFmtId="165" fontId="3" fillId="0" borderId="22" xfId="1" applyNumberFormat="1" applyFont="1" applyBorder="1" applyAlignment="1">
      <alignment horizontal="center" vertical="center"/>
    </xf>
    <xf numFmtId="0" fontId="4" fillId="3" borderId="1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3" fillId="0" borderId="22" xfId="0" applyFont="1" applyBorder="1" applyAlignment="1">
      <alignment horizontal="left" vertical="center"/>
    </xf>
    <xf numFmtId="0" fontId="3" fillId="0" borderId="22" xfId="0" applyFont="1" applyBorder="1" applyAlignment="1">
      <alignment vertical="center"/>
    </xf>
    <xf numFmtId="0" fontId="3" fillId="0" borderId="22" xfId="0" applyFont="1" applyBorder="1"/>
    <xf numFmtId="0" fontId="4" fillId="2" borderId="22" xfId="0" applyFont="1" applyFill="1" applyBorder="1" applyAlignment="1">
      <alignment horizontal="right" vertical="center" wrapText="1"/>
    </xf>
    <xf numFmtId="0" fontId="9" fillId="2" borderId="21" xfId="0" applyFont="1" applyFill="1" applyBorder="1" applyAlignment="1">
      <alignment horizontal="left" vertical="center" wrapText="1"/>
    </xf>
    <xf numFmtId="0" fontId="8" fillId="0" borderId="21" xfId="0" applyFont="1" applyBorder="1" applyAlignment="1">
      <alignment horizontal="left" vertical="center" wrapText="1"/>
    </xf>
    <xf numFmtId="0" fontId="8" fillId="2" borderId="21" xfId="0" applyFont="1" applyFill="1" applyBorder="1" applyAlignment="1">
      <alignment horizontal="left" vertical="center" wrapText="1"/>
    </xf>
    <xf numFmtId="0" fontId="3" fillId="2" borderId="21" xfId="0" applyFont="1" applyFill="1" applyBorder="1" applyAlignment="1">
      <alignment horizontal="left" vertical="center" wrapText="1"/>
    </xf>
    <xf numFmtId="165" fontId="8" fillId="2" borderId="25" xfId="1" applyNumberFormat="1" applyFont="1" applyFill="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xf>
    <xf numFmtId="165" fontId="3" fillId="2" borderId="25" xfId="1" applyNumberFormat="1" applyFont="1" applyFill="1" applyBorder="1" applyAlignment="1">
      <alignment horizontal="center" vertical="center" wrapText="1"/>
    </xf>
    <xf numFmtId="165" fontId="9" fillId="2" borderId="25" xfId="1" applyNumberFormat="1" applyFont="1" applyFill="1" applyBorder="1" applyAlignment="1">
      <alignment horizontal="center" vertical="center" wrapText="1"/>
    </xf>
    <xf numFmtId="165" fontId="3" fillId="0" borderId="16" xfId="1" applyNumberFormat="1" applyFont="1" applyBorder="1" applyAlignment="1">
      <alignment horizontal="center" vertical="center"/>
    </xf>
    <xf numFmtId="0" fontId="3" fillId="0" borderId="18" xfId="0" applyFont="1" applyBorder="1" applyAlignment="1">
      <alignment horizontal="left" vertical="center"/>
    </xf>
    <xf numFmtId="9" fontId="3" fillId="0" borderId="22" xfId="2" applyFont="1" applyBorder="1" applyAlignment="1">
      <alignment horizontal="left" vertical="center" wrapText="1"/>
    </xf>
    <xf numFmtId="164" fontId="3" fillId="0" borderId="22" xfId="1" applyFont="1" applyBorder="1" applyAlignment="1">
      <alignment horizontal="left" vertical="center" wrapText="1"/>
    </xf>
    <xf numFmtId="10" fontId="3" fillId="0" borderId="22" xfId="2" applyNumberFormat="1" applyFont="1" applyBorder="1" applyAlignment="1">
      <alignment horizontal="left" vertical="center" wrapText="1"/>
    </xf>
    <xf numFmtId="9" fontId="3" fillId="0" borderId="22" xfId="2" applyNumberFormat="1" applyFont="1" applyBorder="1" applyAlignment="1">
      <alignment horizontal="left" vertical="center" wrapText="1"/>
    </xf>
    <xf numFmtId="9" fontId="3" fillId="0" borderId="22" xfId="0" applyNumberFormat="1" applyFont="1" applyBorder="1" applyAlignment="1">
      <alignment horizontal="left" vertical="center" wrapText="1"/>
    </xf>
    <xf numFmtId="0" fontId="3" fillId="2" borderId="22" xfId="0" applyFont="1" applyFill="1" applyBorder="1" applyAlignment="1">
      <alignment horizontal="center" vertical="center"/>
    </xf>
    <xf numFmtId="0" fontId="8" fillId="2" borderId="22" xfId="0" applyFont="1" applyFill="1" applyBorder="1" applyAlignment="1">
      <alignment horizontal="center" vertical="center"/>
    </xf>
    <xf numFmtId="10" fontId="3" fillId="0" borderId="22" xfId="0" applyNumberFormat="1" applyFont="1" applyBorder="1" applyAlignment="1">
      <alignment horizontal="center" vertical="center"/>
    </xf>
    <xf numFmtId="0" fontId="3" fillId="0" borderId="54" xfId="0" applyFont="1" applyBorder="1" applyAlignment="1">
      <alignment horizontal="left" vertical="center" wrapText="1"/>
    </xf>
    <xf numFmtId="0" fontId="8" fillId="0" borderId="55" xfId="0" applyFont="1" applyBorder="1" applyAlignment="1">
      <alignment horizontal="center" vertical="center" wrapText="1"/>
    </xf>
    <xf numFmtId="0" fontId="8" fillId="0" borderId="22" xfId="0" applyFont="1" applyBorder="1" applyAlignment="1">
      <alignment vertical="center" wrapText="1"/>
    </xf>
    <xf numFmtId="166" fontId="3" fillId="2" borderId="22" xfId="2" applyNumberFormat="1" applyFont="1" applyFill="1" applyBorder="1" applyAlignment="1">
      <alignment horizontal="center" vertical="center"/>
    </xf>
    <xf numFmtId="10" fontId="3" fillId="2" borderId="22" xfId="2" applyNumberFormat="1" applyFont="1" applyFill="1" applyBorder="1" applyAlignment="1">
      <alignment horizontal="center" vertical="center"/>
    </xf>
    <xf numFmtId="10" fontId="3" fillId="0" borderId="22" xfId="2" applyNumberFormat="1" applyFont="1" applyBorder="1" applyAlignment="1">
      <alignment horizontal="center" vertical="center"/>
    </xf>
    <xf numFmtId="166" fontId="8" fillId="2" borderId="22" xfId="2" applyNumberFormat="1" applyFont="1" applyFill="1" applyBorder="1" applyAlignment="1">
      <alignment horizontal="center" vertical="center"/>
    </xf>
    <xf numFmtId="10" fontId="8" fillId="0" borderId="22" xfId="2" applyNumberFormat="1" applyFont="1" applyBorder="1" applyAlignment="1">
      <alignment horizontal="center" vertical="center" wrapText="1"/>
    </xf>
    <xf numFmtId="2" fontId="8" fillId="0" borderId="22" xfId="0" applyNumberFormat="1" applyFont="1" applyBorder="1" applyAlignment="1">
      <alignment horizontal="center" vertical="center" wrapText="1"/>
    </xf>
    <xf numFmtId="0" fontId="8" fillId="14" borderId="22" xfId="0" applyFont="1" applyFill="1" applyBorder="1" applyAlignment="1">
      <alignment horizontal="center" vertical="center" wrapText="1"/>
    </xf>
    <xf numFmtId="0" fontId="39" fillId="0" borderId="0" xfId="0" applyFont="1" applyAlignment="1">
      <alignment horizontal="center" vertical="center"/>
    </xf>
    <xf numFmtId="0" fontId="39" fillId="0" borderId="22" xfId="0" applyFont="1" applyBorder="1" applyAlignment="1">
      <alignment horizontal="center" vertical="center"/>
    </xf>
    <xf numFmtId="0" fontId="4" fillId="14" borderId="5" xfId="0" applyFont="1" applyFill="1" applyBorder="1" applyAlignment="1">
      <alignment horizontal="center" vertical="center"/>
    </xf>
    <xf numFmtId="0" fontId="4" fillId="16" borderId="56" xfId="0" applyFont="1" applyFill="1" applyBorder="1" applyAlignment="1">
      <alignment horizontal="center" vertical="center"/>
    </xf>
    <xf numFmtId="0" fontId="4" fillId="15" borderId="56" xfId="0" applyFont="1" applyFill="1" applyBorder="1" applyAlignment="1">
      <alignment horizontal="center" vertical="center"/>
    </xf>
    <xf numFmtId="0" fontId="3" fillId="0" borderId="43"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4" xfId="0" applyFont="1" applyBorder="1" applyAlignment="1">
      <alignment vertical="center" wrapText="1"/>
    </xf>
    <xf numFmtId="0" fontId="4" fillId="0" borderId="48" xfId="0" applyFont="1" applyFill="1"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9" fillId="0" borderId="0" xfId="0" applyFont="1" applyAlignment="1">
      <alignment horizontal="center"/>
    </xf>
    <xf numFmtId="9" fontId="39" fillId="0" borderId="0" xfId="2" applyFont="1" applyAlignment="1">
      <alignment horizontal="center" vertical="center"/>
    </xf>
    <xf numFmtId="10" fontId="1" fillId="0" borderId="22" xfId="2" applyNumberFormat="1" applyFont="1" applyBorder="1" applyAlignment="1">
      <alignment horizontal="center" vertical="center"/>
    </xf>
    <xf numFmtId="0" fontId="4" fillId="14" borderId="23" xfId="0" applyFont="1" applyFill="1" applyBorder="1" applyAlignment="1">
      <alignment horizontal="center" vertical="center"/>
    </xf>
    <xf numFmtId="0" fontId="4" fillId="16" borderId="23" xfId="0" applyFont="1" applyFill="1" applyBorder="1" applyAlignment="1">
      <alignment horizontal="center" vertical="center"/>
    </xf>
    <xf numFmtId="0" fontId="4" fillId="15" borderId="23" xfId="0" applyFont="1" applyFill="1" applyBorder="1" applyAlignment="1">
      <alignment horizontal="center" vertical="center"/>
    </xf>
    <xf numFmtId="0" fontId="4" fillId="2" borderId="23" xfId="0" applyFont="1" applyFill="1" applyBorder="1" applyAlignment="1">
      <alignment horizontal="center" vertical="center" wrapText="1"/>
    </xf>
    <xf numFmtId="10" fontId="39" fillId="16" borderId="22" xfId="2" applyNumberFormat="1" applyFont="1" applyFill="1" applyBorder="1" applyAlignment="1">
      <alignment horizontal="center" vertical="center"/>
    </xf>
    <xf numFmtId="0" fontId="39" fillId="0" borderId="22" xfId="0" applyFont="1" applyBorder="1" applyAlignment="1">
      <alignment horizontal="center"/>
    </xf>
    <xf numFmtId="10" fontId="39" fillId="0" borderId="0" xfId="0" applyNumberFormat="1" applyFont="1" applyAlignment="1">
      <alignment horizontal="center" vertical="center"/>
    </xf>
    <xf numFmtId="0" fontId="8" fillId="0" borderId="22"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22" xfId="0" applyFont="1" applyBorder="1" applyAlignment="1">
      <alignment horizontal="center" vertical="center"/>
    </xf>
    <xf numFmtId="0" fontId="8" fillId="0" borderId="22" xfId="0" applyFont="1" applyBorder="1" applyAlignment="1">
      <alignment vertical="center" wrapText="1"/>
    </xf>
    <xf numFmtId="0" fontId="3" fillId="0" borderId="4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9" fontId="3" fillId="0" borderId="23" xfId="2" applyFont="1" applyBorder="1" applyAlignment="1">
      <alignment horizontal="center" vertical="center"/>
    </xf>
    <xf numFmtId="0" fontId="3" fillId="0" borderId="0" xfId="0" applyFont="1" applyAlignment="1">
      <alignment horizontal="center"/>
    </xf>
    <xf numFmtId="9" fontId="3" fillId="0" borderId="22" xfId="2" applyFont="1" applyBorder="1" applyAlignment="1">
      <alignment horizontal="center" vertical="center" wrapText="1"/>
    </xf>
    <xf numFmtId="0" fontId="3" fillId="0" borderId="0" xfId="0" applyFont="1" applyAlignment="1">
      <alignment vertical="center"/>
    </xf>
    <xf numFmtId="0" fontId="4" fillId="17" borderId="5" xfId="0" applyFont="1" applyFill="1" applyBorder="1" applyAlignment="1">
      <alignment horizontal="center" vertical="center"/>
    </xf>
    <xf numFmtId="0" fontId="3" fillId="0" borderId="6" xfId="0" applyFont="1" applyBorder="1" applyAlignment="1">
      <alignment horizontal="center" vertical="center"/>
    </xf>
    <xf numFmtId="0" fontId="4" fillId="17" borderId="5"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3" borderId="10" xfId="0" applyFont="1" applyFill="1" applyBorder="1" applyAlignment="1">
      <alignment horizontal="center" vertical="center" textRotation="90"/>
    </xf>
    <xf numFmtId="0" fontId="44" fillId="0" borderId="13" xfId="0" applyFont="1" applyBorder="1" applyAlignment="1">
      <alignment vertical="center" wrapText="1"/>
    </xf>
    <xf numFmtId="167" fontId="42" fillId="0" borderId="12" xfId="0" applyNumberFormat="1" applyFont="1" applyBorder="1" applyAlignment="1">
      <alignment horizontal="center" vertical="center" wrapText="1"/>
    </xf>
    <xf numFmtId="167" fontId="42" fillId="0" borderId="11" xfId="0" applyNumberFormat="1" applyFont="1" applyBorder="1" applyAlignment="1">
      <alignment horizontal="center" vertical="center" wrapText="1"/>
    </xf>
    <xf numFmtId="167" fontId="42" fillId="0" borderId="11" xfId="0" applyNumberFormat="1" applyFont="1" applyBorder="1" applyAlignment="1">
      <alignment horizontal="center" vertical="center"/>
    </xf>
    <xf numFmtId="167" fontId="42" fillId="0" borderId="13" xfId="0" applyNumberFormat="1" applyFont="1" applyBorder="1" applyAlignment="1">
      <alignment horizontal="center" vertical="center"/>
    </xf>
    <xf numFmtId="0" fontId="4" fillId="3" borderId="40" xfId="0" applyFont="1" applyFill="1" applyBorder="1" applyAlignment="1">
      <alignment horizontal="center" vertical="center" textRotation="90"/>
    </xf>
    <xf numFmtId="0" fontId="44" fillId="0" borderId="20" xfId="0" applyFont="1" applyBorder="1" applyAlignment="1">
      <alignment vertical="center" wrapText="1"/>
    </xf>
    <xf numFmtId="167" fontId="42" fillId="0" borderId="58" xfId="0" applyNumberFormat="1" applyFont="1" applyBorder="1" applyAlignment="1">
      <alignment horizontal="center" vertical="center" wrapText="1"/>
    </xf>
    <xf numFmtId="167" fontId="42" fillId="0" borderId="19" xfId="0" applyNumberFormat="1" applyFont="1" applyBorder="1" applyAlignment="1">
      <alignment horizontal="center" vertical="center" wrapText="1"/>
    </xf>
    <xf numFmtId="167" fontId="42" fillId="0" borderId="19" xfId="0" applyNumberFormat="1" applyFont="1" applyBorder="1" applyAlignment="1">
      <alignment horizontal="center" vertical="center"/>
    </xf>
    <xf numFmtId="167" fontId="42" fillId="0" borderId="20" xfId="0" applyNumberFormat="1" applyFont="1" applyBorder="1" applyAlignment="1">
      <alignment horizontal="center" vertical="center"/>
    </xf>
    <xf numFmtId="167" fontId="42" fillId="0" borderId="57" xfId="0" applyNumberFormat="1" applyFont="1" applyBorder="1" applyAlignment="1">
      <alignment horizontal="center" vertical="center" wrapText="1"/>
    </xf>
    <xf numFmtId="167" fontId="42" fillId="0" borderId="5" xfId="0" applyNumberFormat="1" applyFont="1" applyBorder="1" applyAlignment="1">
      <alignment horizontal="center" vertical="center" wrapText="1"/>
    </xf>
    <xf numFmtId="167" fontId="42" fillId="0" borderId="3" xfId="0" applyNumberFormat="1" applyFont="1" applyBorder="1" applyAlignment="1">
      <alignment horizontal="center" vertical="center" wrapText="1"/>
    </xf>
    <xf numFmtId="0" fontId="15" fillId="6" borderId="27" xfId="4" applyFont="1" applyFill="1" applyBorder="1" applyAlignment="1">
      <alignment horizontal="center" vertical="center" wrapText="1"/>
    </xf>
    <xf numFmtId="10" fontId="15" fillId="12" borderId="29" xfId="3" applyNumberFormat="1" applyFont="1" applyFill="1" applyBorder="1" applyAlignment="1">
      <alignment horizontal="center" vertical="center" wrapText="1"/>
    </xf>
    <xf numFmtId="0" fontId="13" fillId="0" borderId="8" xfId="4" applyFont="1" applyBorder="1" applyAlignment="1">
      <alignment horizontal="left" vertical="center" wrapText="1"/>
    </xf>
    <xf numFmtId="0" fontId="13" fillId="0" borderId="8" xfId="4" applyFont="1" applyBorder="1" applyAlignment="1" applyProtection="1">
      <alignment horizontal="center" vertical="center" wrapText="1"/>
      <protection locked="0"/>
    </xf>
    <xf numFmtId="9" fontId="4" fillId="0" borderId="42" xfId="5" applyFont="1" applyFill="1" applyBorder="1" applyAlignment="1" applyProtection="1">
      <alignment horizontal="center" vertical="center" wrapText="1"/>
    </xf>
    <xf numFmtId="14" fontId="4" fillId="0" borderId="7" xfId="5" applyNumberFormat="1" applyFont="1" applyFill="1" applyBorder="1" applyAlignment="1" applyProtection="1">
      <alignment horizontal="center" vertical="center" wrapText="1"/>
    </xf>
    <xf numFmtId="14" fontId="4" fillId="0" borderId="9" xfId="5" applyNumberFormat="1" applyFont="1" applyFill="1" applyBorder="1" applyAlignment="1" applyProtection="1">
      <alignment horizontal="center" vertical="center" wrapText="1"/>
    </xf>
    <xf numFmtId="10" fontId="4" fillId="0" borderId="37" xfId="2" applyNumberFormat="1" applyFont="1" applyFill="1" applyBorder="1" applyAlignment="1" applyProtection="1">
      <alignment horizontal="center" vertical="center" wrapText="1"/>
    </xf>
    <xf numFmtId="0" fontId="13" fillId="0" borderId="24" xfId="4" applyFont="1" applyBorder="1" applyAlignment="1">
      <alignment horizontal="center" vertical="center" wrapText="1"/>
    </xf>
    <xf numFmtId="0" fontId="13" fillId="0" borderId="22" xfId="4" applyFont="1" applyBorder="1" applyAlignment="1">
      <alignment horizontal="left" vertical="center" wrapText="1"/>
    </xf>
    <xf numFmtId="0" fontId="13" fillId="0" borderId="22" xfId="4" applyFont="1" applyBorder="1" applyAlignment="1" applyProtection="1">
      <alignment horizontal="center" vertical="center" wrapText="1"/>
      <protection locked="0"/>
    </xf>
    <xf numFmtId="9" fontId="4" fillId="0" borderId="23" xfId="5" applyFont="1" applyFill="1" applyBorder="1" applyAlignment="1" applyProtection="1">
      <alignment horizontal="center" vertical="center" wrapText="1"/>
    </xf>
    <xf numFmtId="14" fontId="13" fillId="0" borderId="24" xfId="5" applyNumberFormat="1" applyFont="1" applyFill="1" applyBorder="1" applyAlignment="1" applyProtection="1">
      <alignment horizontal="center" vertical="center" wrapText="1"/>
    </xf>
    <xf numFmtId="14" fontId="13" fillId="0" borderId="25" xfId="5" applyNumberFormat="1" applyFont="1" applyFill="1" applyBorder="1" applyAlignment="1" applyProtection="1">
      <alignment horizontal="center" vertical="center" wrapText="1"/>
    </xf>
    <xf numFmtId="10" fontId="13" fillId="0" borderId="53" xfId="2" applyNumberFormat="1" applyFont="1" applyFill="1" applyBorder="1" applyAlignment="1" applyProtection="1">
      <alignment horizontal="center" vertical="center" wrapText="1"/>
    </xf>
    <xf numFmtId="10" fontId="13" fillId="0" borderId="44" xfId="4" applyNumberFormat="1" applyFont="1" applyBorder="1" applyAlignment="1">
      <alignment horizontal="center" vertical="center"/>
    </xf>
    <xf numFmtId="10" fontId="13" fillId="7" borderId="53" xfId="2" applyNumberFormat="1" applyFont="1" applyFill="1" applyBorder="1" applyAlignment="1" applyProtection="1">
      <alignment horizontal="center" vertical="center" wrapText="1"/>
    </xf>
    <xf numFmtId="10" fontId="16" fillId="0" borderId="53" xfId="2" applyNumberFormat="1" applyFont="1" applyFill="1" applyBorder="1" applyAlignment="1" applyProtection="1">
      <alignment horizontal="center" vertical="center" wrapText="1"/>
    </xf>
    <xf numFmtId="10" fontId="16" fillId="0" borderId="59" xfId="2" applyNumberFormat="1" applyFont="1" applyFill="1" applyBorder="1" applyAlignment="1" applyProtection="1">
      <alignment horizontal="center" vertical="center" wrapText="1"/>
    </xf>
    <xf numFmtId="0" fontId="8" fillId="0" borderId="0" xfId="0" applyFont="1" applyFill="1" applyAlignment="1">
      <alignment horizont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horizontal="left" vertical="center"/>
    </xf>
    <xf numFmtId="0" fontId="4" fillId="0" borderId="7" xfId="0" applyFont="1" applyFill="1" applyBorder="1" applyAlignment="1">
      <alignment horizontal="right" vertical="center" wrapText="1"/>
    </xf>
    <xf numFmtId="0" fontId="4" fillId="0" borderId="24"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24" xfId="0" applyFont="1" applyFill="1" applyBorder="1" applyAlignment="1">
      <alignment vertical="center" wrapText="1"/>
    </xf>
    <xf numFmtId="0" fontId="3" fillId="0" borderId="14" xfId="0" applyFont="1" applyFill="1" applyBorder="1" applyAlignment="1">
      <alignment vertical="center" wrapText="1"/>
    </xf>
    <xf numFmtId="0" fontId="4" fillId="3" borderId="7" xfId="0" applyFont="1" applyFill="1" applyBorder="1" applyAlignment="1">
      <alignment vertical="center" wrapText="1"/>
    </xf>
    <xf numFmtId="0" fontId="3" fillId="0" borderId="22" xfId="2" applyNumberFormat="1" applyFont="1" applyBorder="1" applyAlignment="1">
      <alignment horizontal="left" vertical="center" wrapText="1"/>
    </xf>
    <xf numFmtId="0" fontId="8" fillId="0" borderId="22" xfId="0" applyFont="1" applyBorder="1" applyAlignment="1">
      <alignment vertical="center" wrapText="1"/>
    </xf>
    <xf numFmtId="0" fontId="4" fillId="0" borderId="6" xfId="0" applyFont="1" applyBorder="1" applyAlignment="1">
      <alignment horizontal="center" vertical="center"/>
    </xf>
    <xf numFmtId="164" fontId="8" fillId="0" borderId="22" xfId="1" applyFont="1" applyBorder="1" applyAlignment="1">
      <alignment horizontal="center" vertical="center" textRotation="90" wrapText="1"/>
    </xf>
    <xf numFmtId="0" fontId="4" fillId="0" borderId="1" xfId="0" applyFont="1" applyBorder="1" applyAlignment="1">
      <alignment horizontal="center" vertical="center"/>
    </xf>
    <xf numFmtId="0" fontId="4" fillId="2" borderId="22" xfId="0" applyFont="1" applyFill="1" applyBorder="1" applyAlignment="1">
      <alignment horizontal="center" vertical="center" wrapText="1"/>
    </xf>
    <xf numFmtId="0" fontId="4" fillId="15" borderId="22" xfId="0" applyFont="1" applyFill="1" applyBorder="1" applyAlignment="1">
      <alignment horizontal="center" vertical="center"/>
    </xf>
    <xf numFmtId="0" fontId="4" fillId="16" borderId="22" xfId="0" applyFont="1" applyFill="1" applyBorder="1" applyAlignment="1">
      <alignment horizontal="center" vertical="center"/>
    </xf>
    <xf numFmtId="0" fontId="4" fillId="14" borderId="22" xfId="0" applyFont="1" applyFill="1" applyBorder="1" applyAlignment="1">
      <alignment horizontal="center" vertical="center"/>
    </xf>
    <xf numFmtId="10" fontId="0" fillId="0" borderId="22" xfId="0" applyNumberFormat="1" applyBorder="1" applyAlignment="1">
      <alignment horizontal="center" vertical="center"/>
    </xf>
    <xf numFmtId="10" fontId="39" fillId="0" borderId="22" xfId="0" applyNumberFormat="1" applyFont="1" applyBorder="1" applyAlignment="1">
      <alignment horizontal="center" vertical="center"/>
    </xf>
    <xf numFmtId="9" fontId="0" fillId="0" borderId="22" xfId="2" applyFont="1" applyBorder="1" applyAlignment="1">
      <alignment horizontal="center" vertical="center"/>
    </xf>
    <xf numFmtId="9" fontId="39" fillId="0" borderId="22" xfId="2" applyFont="1" applyBorder="1" applyAlignment="1">
      <alignment horizontal="center" vertical="center"/>
    </xf>
    <xf numFmtId="9" fontId="0" fillId="0" borderId="22" xfId="0" applyNumberFormat="1" applyBorder="1" applyAlignment="1">
      <alignment horizontal="center" vertical="center"/>
    </xf>
    <xf numFmtId="0" fontId="3" fillId="0"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3" fillId="0" borderId="22" xfId="0" applyFont="1" applyBorder="1" applyAlignment="1">
      <alignment horizontal="left" vertical="center" wrapText="1"/>
    </xf>
    <xf numFmtId="0" fontId="8" fillId="0"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wrapText="1"/>
    </xf>
    <xf numFmtId="0" fontId="3" fillId="0" borderId="21" xfId="0" applyFont="1" applyBorder="1" applyAlignment="1">
      <alignment vertical="center" wrapText="1"/>
    </xf>
    <xf numFmtId="0" fontId="2" fillId="2" borderId="2" xfId="0" applyFont="1" applyFill="1" applyBorder="1" applyAlignment="1">
      <alignment vertical="center" wrapText="1"/>
    </xf>
    <xf numFmtId="0" fontId="3" fillId="0" borderId="0" xfId="0" applyFont="1" applyFill="1" applyBorder="1"/>
    <xf numFmtId="0" fontId="4" fillId="0" borderId="0" xfId="0" applyFont="1" applyFill="1" applyBorder="1" applyAlignment="1">
      <alignment horizontal="righ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22" xfId="2" applyNumberFormat="1" applyFont="1" applyBorder="1" applyAlignment="1">
      <alignment horizontal="center" vertical="center" wrapText="1"/>
    </xf>
    <xf numFmtId="0" fontId="8" fillId="0" borderId="22" xfId="0" applyFont="1" applyBorder="1" applyAlignment="1">
      <alignment horizontal="left" vertical="center" wrapText="1"/>
    </xf>
    <xf numFmtId="0" fontId="8" fillId="2"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9" fillId="0" borderId="22" xfId="0" applyFont="1" applyBorder="1" applyAlignment="1">
      <alignment vertical="center" wrapText="1"/>
    </xf>
    <xf numFmtId="0" fontId="41" fillId="0" borderId="21" xfId="0" applyFont="1" applyBorder="1" applyAlignment="1">
      <alignment horizontal="left" vertical="center" wrapText="1"/>
    </xf>
    <xf numFmtId="0" fontId="9" fillId="0" borderId="22" xfId="0" applyFont="1" applyBorder="1" applyAlignment="1">
      <alignment horizontal="center" vertical="center" wrapText="1"/>
    </xf>
    <xf numFmtId="0" fontId="2" fillId="2"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7" fillId="0" borderId="22" xfId="0" applyFont="1" applyBorder="1" applyAlignment="1">
      <alignment horizontal="left" vertical="center" wrapText="1"/>
    </xf>
    <xf numFmtId="0" fontId="46" fillId="0" borderId="18" xfId="0" applyFont="1" applyBorder="1" applyAlignment="1">
      <alignment vertical="center" wrapText="1"/>
    </xf>
    <xf numFmtId="0" fontId="8" fillId="15"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2" borderId="22"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0" borderId="19" xfId="0" applyFont="1" applyBorder="1" applyAlignment="1">
      <alignment horizontal="center" vertical="center" wrapText="1"/>
    </xf>
    <xf numFmtId="0" fontId="8" fillId="0" borderId="25" xfId="0" applyFont="1" applyBorder="1" applyAlignment="1">
      <alignment horizontal="lef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11" xfId="0" applyFont="1" applyBorder="1" applyAlignment="1">
      <alignment horizontal="left" vertical="center" wrapText="1"/>
    </xf>
    <xf numFmtId="165" fontId="3" fillId="0" borderId="24" xfId="1" applyNumberFormat="1" applyFont="1" applyBorder="1" applyAlignment="1">
      <alignment horizontal="center" vertical="center"/>
    </xf>
    <xf numFmtId="165" fontId="3" fillId="0" borderId="24" xfId="1" applyNumberFormat="1" applyFont="1" applyBorder="1" applyAlignment="1">
      <alignment horizontal="center" vertical="center" wrapText="1"/>
    </xf>
    <xf numFmtId="0" fontId="8" fillId="0" borderId="22" xfId="0" applyFont="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horizontal="center"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165" fontId="3" fillId="0" borderId="22" xfId="1" applyNumberFormat="1" applyFont="1" applyBorder="1" applyAlignment="1">
      <alignment horizontal="center" vertical="center"/>
    </xf>
    <xf numFmtId="165" fontId="3" fillId="0" borderId="22" xfId="1" applyNumberFormat="1" applyFont="1" applyBorder="1" applyAlignment="1">
      <alignment horizontal="center" vertical="center" wrapText="1"/>
    </xf>
    <xf numFmtId="0" fontId="3" fillId="2" borderId="25" xfId="0" applyFont="1" applyFill="1" applyBorder="1" applyAlignment="1">
      <alignment horizontal="left" vertical="center" wrapText="1"/>
    </xf>
    <xf numFmtId="0" fontId="3" fillId="2" borderId="22" xfId="0" applyFont="1" applyFill="1" applyBorder="1" applyAlignment="1">
      <alignment vertical="center" wrapText="1"/>
    </xf>
    <xf numFmtId="9" fontId="3" fillId="0" borderId="22" xfId="2" applyFont="1" applyBorder="1" applyAlignment="1">
      <alignment horizontal="center" vertical="center"/>
    </xf>
    <xf numFmtId="9" fontId="3" fillId="0" borderId="22" xfId="0" applyNumberFormat="1" applyFont="1" applyBorder="1" applyAlignment="1">
      <alignment horizontal="center" vertical="center"/>
    </xf>
    <xf numFmtId="0" fontId="3" fillId="0" borderId="49"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5" fillId="6" borderId="36" xfId="3"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49" xfId="0" applyFont="1" applyBorder="1" applyAlignment="1">
      <alignment vertical="center" wrapText="1"/>
    </xf>
    <xf numFmtId="0" fontId="3" fillId="0" borderId="8" xfId="0" applyFont="1" applyBorder="1" applyAlignment="1">
      <alignment vertical="center" wrapText="1"/>
    </xf>
    <xf numFmtId="0" fontId="8"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165" fontId="3" fillId="0" borderId="7"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9" xfId="1" applyNumberFormat="1" applyFont="1" applyFill="1" applyBorder="1" applyAlignment="1">
      <alignment horizontal="center" vertical="center" wrapText="1"/>
    </xf>
    <xf numFmtId="0" fontId="8"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2" xfId="0" applyFont="1" applyBorder="1" applyAlignment="1">
      <alignment horizontal="left" vertical="center" wrapText="1"/>
    </xf>
    <xf numFmtId="0" fontId="3" fillId="0" borderId="40"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0" fillId="0" borderId="11" xfId="0"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0" fillId="0" borderId="13" xfId="0" applyBorder="1" applyAlignment="1">
      <alignment horizontal="left" vertical="center" wrapText="1"/>
    </xf>
    <xf numFmtId="0" fontId="3"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50"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3" fillId="0" borderId="8" xfId="0" applyFont="1" applyBorder="1" applyAlignment="1">
      <alignment horizontal="left" vertical="center"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9" xfId="0" applyFont="1" applyBorder="1" applyAlignment="1">
      <alignment horizontal="left" vertical="center" wrapText="1"/>
    </xf>
    <xf numFmtId="0" fontId="4" fillId="3" borderId="43"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2" xfId="0" applyFont="1" applyBorder="1" applyAlignment="1">
      <alignment horizontal="left" vertical="center" wrapText="1"/>
    </xf>
    <xf numFmtId="0" fontId="8" fillId="2" borderId="22"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4"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8" fillId="0" borderId="25" xfId="0" applyFont="1" applyBorder="1" applyAlignment="1">
      <alignment horizontal="lef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3" fillId="0" borderId="2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8" fillId="0" borderId="11" xfId="0" applyFont="1" applyBorder="1" applyAlignment="1">
      <alignment horizontal="left" vertical="center" wrapText="1"/>
    </xf>
    <xf numFmtId="0" fontId="8" fillId="2" borderId="19" xfId="0" applyFont="1" applyFill="1" applyBorder="1" applyAlignment="1">
      <alignment horizontal="left" vertical="center" wrapText="1"/>
    </xf>
    <xf numFmtId="0" fontId="0" fillId="0" borderId="11" xfId="0" applyBorder="1" applyAlignment="1">
      <alignment horizontal="center" vertical="center" wrapText="1"/>
    </xf>
    <xf numFmtId="165" fontId="3" fillId="0" borderId="24" xfId="1" applyNumberFormat="1" applyFont="1" applyBorder="1" applyAlignment="1">
      <alignment horizontal="center" vertical="center"/>
    </xf>
    <xf numFmtId="165" fontId="3" fillId="0" borderId="24" xfId="1" applyNumberFormat="1" applyFont="1" applyBorder="1" applyAlignment="1">
      <alignment horizontal="center" vertical="center" wrapText="1"/>
    </xf>
    <xf numFmtId="9" fontId="8" fillId="0" borderId="22" xfId="2" applyFont="1" applyBorder="1" applyAlignment="1">
      <alignment horizontal="center" vertical="center" wrapText="1"/>
    </xf>
    <xf numFmtId="9" fontId="8" fillId="0" borderId="25" xfId="2" applyFont="1" applyBorder="1" applyAlignment="1">
      <alignment horizontal="center" vertical="center" wrapText="1"/>
    </xf>
    <xf numFmtId="0" fontId="8" fillId="0" borderId="22" xfId="0" applyFont="1" applyBorder="1" applyAlignment="1">
      <alignment horizontal="center" vertical="center" wrapText="1"/>
    </xf>
    <xf numFmtId="9" fontId="8" fillId="0" borderId="23" xfId="2" applyFont="1" applyBorder="1" applyAlignment="1">
      <alignment horizontal="center" vertical="center" wrapText="1"/>
    </xf>
    <xf numFmtId="9" fontId="8" fillId="0" borderId="24" xfId="2" applyFont="1" applyBorder="1" applyAlignment="1">
      <alignment horizontal="center" vertical="center" wrapText="1"/>
    </xf>
    <xf numFmtId="0" fontId="3" fillId="0" borderId="40" xfId="0" applyFont="1" applyBorder="1" applyAlignment="1">
      <alignment vertical="center" wrapText="1"/>
    </xf>
    <xf numFmtId="0" fontId="3" fillId="0" borderId="51" xfId="0" applyFont="1" applyBorder="1" applyAlignment="1">
      <alignment vertical="center" wrapText="1"/>
    </xf>
    <xf numFmtId="0" fontId="3" fillId="0" borderId="1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165" fontId="3" fillId="0" borderId="22" xfId="1" applyNumberFormat="1" applyFont="1" applyBorder="1" applyAlignment="1">
      <alignment horizontal="center" vertical="center"/>
    </xf>
    <xf numFmtId="165" fontId="3" fillId="0" borderId="22" xfId="1" applyNumberFormat="1" applyFont="1" applyBorder="1" applyAlignment="1">
      <alignment horizontal="center" vertical="center" wrapText="1"/>
    </xf>
    <xf numFmtId="0" fontId="3" fillId="2" borderId="25" xfId="0" applyFont="1" applyFill="1" applyBorder="1" applyAlignment="1">
      <alignment horizontal="left" vertical="center" wrapText="1"/>
    </xf>
    <xf numFmtId="0" fontId="3" fillId="0" borderId="0" xfId="0" applyFont="1" applyFill="1" applyBorder="1" applyAlignment="1">
      <alignment horizontal="center"/>
    </xf>
    <xf numFmtId="0" fontId="8" fillId="0" borderId="0"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3" borderId="11" xfId="0" applyFont="1" applyFill="1" applyBorder="1" applyAlignment="1">
      <alignment horizontal="center" vertical="center" wrapText="1"/>
    </xf>
    <xf numFmtId="166" fontId="3" fillId="0" borderId="22" xfId="2" applyNumberFormat="1" applyFont="1" applyBorder="1" applyAlignment="1">
      <alignment horizontal="center" vertical="center"/>
    </xf>
    <xf numFmtId="9" fontId="3" fillId="2" borderId="22" xfId="2" applyFont="1" applyFill="1" applyBorder="1" applyAlignment="1">
      <alignment horizontal="center" vertical="center"/>
    </xf>
    <xf numFmtId="166" fontId="8" fillId="2" borderId="22" xfId="2" applyNumberFormat="1" applyFont="1" applyFill="1" applyBorder="1" applyAlignment="1">
      <alignment horizontal="center" vertical="center"/>
    </xf>
    <xf numFmtId="166" fontId="3" fillId="2" borderId="22" xfId="2" applyNumberFormat="1" applyFont="1" applyFill="1" applyBorder="1" applyAlignment="1">
      <alignment horizontal="center" vertical="center"/>
    </xf>
    <xf numFmtId="10" fontId="8" fillId="2" borderId="22" xfId="2" applyNumberFormat="1" applyFont="1" applyFill="1" applyBorder="1" applyAlignment="1">
      <alignment horizontal="center" vertical="center"/>
    </xf>
    <xf numFmtId="10" fontId="8" fillId="0" borderId="22" xfId="2" applyNumberFormat="1"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2" xfId="0" applyFont="1" applyFill="1" applyBorder="1" applyAlignment="1">
      <alignment horizontal="center" vertical="center"/>
    </xf>
    <xf numFmtId="0" fontId="3" fillId="2" borderId="22" xfId="0" applyFont="1" applyFill="1" applyBorder="1" applyAlignment="1">
      <alignment vertical="center" wrapText="1"/>
    </xf>
    <xf numFmtId="0" fontId="4" fillId="2" borderId="22" xfId="0" applyFont="1" applyFill="1" applyBorder="1" applyAlignment="1">
      <alignment horizontal="right" vertical="center" wrapText="1"/>
    </xf>
    <xf numFmtId="10" fontId="3" fillId="0" borderId="22" xfId="2" applyNumberFormat="1" applyFont="1" applyBorder="1" applyAlignment="1">
      <alignment horizontal="center" vertical="center"/>
    </xf>
    <xf numFmtId="9" fontId="3" fillId="0" borderId="22" xfId="2" applyFont="1" applyBorder="1" applyAlignment="1">
      <alignment horizontal="center" vertical="center"/>
    </xf>
    <xf numFmtId="9"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10" fontId="3" fillId="0" borderId="22" xfId="0" applyNumberFormat="1" applyFont="1" applyBorder="1" applyAlignment="1">
      <alignment horizontal="center" vertical="center"/>
    </xf>
    <xf numFmtId="0" fontId="3" fillId="2" borderId="22" xfId="0" applyFont="1" applyFill="1" applyBorder="1" applyAlignment="1">
      <alignment horizontal="center" vertical="center"/>
    </xf>
    <xf numFmtId="166" fontId="8" fillId="0" borderId="22" xfId="2" applyNumberFormat="1" applyFont="1" applyBorder="1" applyAlignment="1">
      <alignment horizontal="center" vertical="center"/>
    </xf>
    <xf numFmtId="0" fontId="2" fillId="2" borderId="22" xfId="0" applyFont="1" applyFill="1" applyBorder="1" applyAlignment="1">
      <alignment horizontal="center" vertical="center" wrapText="1"/>
    </xf>
    <xf numFmtId="0" fontId="3" fillId="0" borderId="5" xfId="0" applyFont="1" applyBorder="1" applyAlignment="1">
      <alignment horizontal="center"/>
    </xf>
    <xf numFmtId="0" fontId="3" fillId="0" borderId="56" xfId="0" applyFont="1" applyBorder="1" applyAlignment="1">
      <alignment horizontal="center"/>
    </xf>
    <xf numFmtId="0" fontId="4" fillId="0" borderId="56" xfId="0" applyFont="1" applyBorder="1" applyAlignment="1">
      <alignment horizontal="center" vertical="center"/>
    </xf>
    <xf numFmtId="0" fontId="3" fillId="0" borderId="6" xfId="0" applyFont="1" applyBorder="1" applyAlignment="1">
      <alignment horizontal="center"/>
    </xf>
    <xf numFmtId="0" fontId="4" fillId="17" borderId="5" xfId="0" applyFont="1" applyFill="1" applyBorder="1" applyAlignment="1">
      <alignment horizontal="center" vertical="center"/>
    </xf>
    <xf numFmtId="0" fontId="4" fillId="17" borderId="56" xfId="0" applyFont="1" applyFill="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56" xfId="0" applyFont="1" applyBorder="1" applyAlignment="1">
      <alignment horizontal="center" vertical="center" wrapText="1"/>
    </xf>
    <xf numFmtId="0" fontId="3" fillId="0" borderId="6" xfId="0" applyFont="1" applyBorder="1" applyAlignment="1">
      <alignment horizontal="center" vertical="center" wrapText="1"/>
    </xf>
    <xf numFmtId="0" fontId="4" fillId="17" borderId="5" xfId="0" applyFont="1" applyFill="1" applyBorder="1" applyAlignment="1">
      <alignment horizontal="center" vertical="center" wrapText="1"/>
    </xf>
    <xf numFmtId="0" fontId="4" fillId="17" borderId="56"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9" xfId="0" applyFont="1" applyBorder="1" applyAlignment="1">
      <alignment horizontal="left" vertical="center" wrapText="1"/>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3" fillId="0" borderId="21" xfId="0" applyFont="1" applyBorder="1" applyAlignment="1">
      <alignment horizontal="left" vertical="center" wrapText="1"/>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57" xfId="0" applyFont="1" applyBorder="1" applyAlignment="1">
      <alignment horizontal="left" vertical="center" wrapText="1"/>
    </xf>
    <xf numFmtId="0" fontId="3" fillId="0" borderId="56" xfId="0" applyFont="1" applyBorder="1" applyAlignment="1">
      <alignment horizontal="left" vertical="center" wrapText="1"/>
    </xf>
    <xf numFmtId="0" fontId="3" fillId="0" borderId="6" xfId="0" applyFont="1" applyBorder="1" applyAlignment="1">
      <alignment horizontal="left" vertical="center" wrapText="1"/>
    </xf>
    <xf numFmtId="0" fontId="4" fillId="17" borderId="1"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3" fillId="2" borderId="14" xfId="3" applyFont="1" applyFill="1" applyBorder="1" applyAlignment="1">
      <alignment horizontal="right" vertical="center"/>
    </xf>
    <xf numFmtId="0" fontId="13" fillId="2" borderId="15" xfId="3" applyFont="1" applyFill="1" applyBorder="1" applyAlignment="1">
      <alignment horizontal="right" vertical="center"/>
    </xf>
    <xf numFmtId="14" fontId="10" fillId="0" borderId="15" xfId="3" applyNumberFormat="1" applyFont="1" applyBorder="1" applyAlignment="1">
      <alignment horizontal="left" vertical="center" wrapText="1"/>
    </xf>
    <xf numFmtId="14" fontId="10" fillId="0" borderId="16" xfId="3" applyNumberFormat="1" applyFont="1" applyBorder="1" applyAlignment="1">
      <alignment horizontal="left" vertical="center" wrapText="1"/>
    </xf>
    <xf numFmtId="0" fontId="12" fillId="2" borderId="26"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3" fillId="2" borderId="32" xfId="3" applyFont="1" applyFill="1" applyBorder="1" applyAlignment="1">
      <alignment horizontal="right" vertical="center"/>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0" fillId="2" borderId="34"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5" fillId="6" borderId="32" xfId="4" applyFont="1" applyFill="1" applyBorder="1" applyAlignment="1">
      <alignment horizontal="center" vertical="center" wrapText="1"/>
    </xf>
    <xf numFmtId="0" fontId="15" fillId="6" borderId="34"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2" xfId="4" applyFont="1" applyFill="1" applyBorder="1" applyAlignment="1">
      <alignment horizontal="center" vertical="center"/>
    </xf>
    <xf numFmtId="0" fontId="13" fillId="6" borderId="43" xfId="4" applyFont="1" applyFill="1" applyBorder="1" applyAlignment="1">
      <alignment horizontal="center" vertical="center" wrapText="1"/>
    </xf>
    <xf numFmtId="0" fontId="13" fillId="6" borderId="44"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0"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19"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5" fillId="6" borderId="45"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7" borderId="22" xfId="4" applyFont="1" applyFill="1" applyBorder="1" applyAlignment="1">
      <alignment horizontal="left"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6" xfId="3" applyFont="1" applyFill="1" applyBorder="1" applyAlignment="1">
      <alignment horizontal="center"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1" fillId="2" borderId="15" xfId="3" applyFill="1" applyBorder="1" applyAlignment="1" applyProtection="1">
      <alignment horizontal="left" vertical="center" wrapText="1"/>
      <protection locked="0"/>
    </xf>
    <xf numFmtId="0" fontId="15" fillId="6" borderId="22" xfId="3" applyFont="1" applyFill="1" applyBorder="1" applyAlignment="1">
      <alignment horizontal="center" vertical="center" wrapText="1"/>
    </xf>
    <xf numFmtId="0" fontId="15" fillId="6" borderId="2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2" xfId="3" applyFont="1" applyFill="1" applyBorder="1" applyAlignment="1" applyProtection="1">
      <alignment horizontal="center" vertical="center" wrapText="1"/>
      <protection locked="0"/>
    </xf>
    <xf numFmtId="0" fontId="8" fillId="5" borderId="22" xfId="3" applyFont="1" applyFill="1" applyBorder="1" applyAlignment="1">
      <alignment horizontal="left" vertical="center" wrapText="1"/>
    </xf>
    <xf numFmtId="0" fontId="8" fillId="0" borderId="22" xfId="3" applyFont="1" applyBorder="1"/>
    <xf numFmtId="0" fontId="15" fillId="6" borderId="24" xfId="3" applyFont="1" applyFill="1" applyBorder="1" applyAlignment="1">
      <alignment horizontal="center" vertical="center" wrapText="1"/>
    </xf>
    <xf numFmtId="0" fontId="15" fillId="6" borderId="14"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6" xfId="3" applyFont="1" applyFill="1" applyBorder="1" applyAlignment="1">
      <alignment horizontal="center"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8" fillId="5" borderId="15" xfId="3" applyFont="1" applyFill="1" applyBorder="1" applyAlignment="1">
      <alignment horizontal="left" vertical="center" wrapText="1"/>
    </xf>
    <xf numFmtId="0" fontId="8" fillId="0" borderId="15" xfId="3" applyFont="1" applyBorder="1"/>
    <xf numFmtId="0" fontId="35" fillId="8" borderId="22" xfId="3" applyFont="1" applyFill="1" applyBorder="1" applyAlignment="1">
      <alignment horizontal="center" vertical="center" wrapText="1"/>
    </xf>
    <xf numFmtId="0" fontId="8" fillId="6" borderId="22" xfId="3" applyFont="1" applyFill="1" applyBorder="1" applyAlignment="1">
      <alignment horizontal="center"/>
    </xf>
    <xf numFmtId="0" fontId="35" fillId="8" borderId="25" xfId="3" applyFont="1" applyFill="1" applyBorder="1" applyAlignment="1">
      <alignment horizontal="center" vertical="center" wrapText="1"/>
    </xf>
    <xf numFmtId="0" fontId="8" fillId="6" borderId="16"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2" xfId="3" applyFont="1" applyFill="1" applyBorder="1" applyAlignment="1">
      <alignment horizontal="center" vertical="center" wrapText="1"/>
    </xf>
    <xf numFmtId="0" fontId="8" fillId="6" borderId="22" xfId="3" applyFont="1" applyFill="1" applyBorder="1"/>
    <xf numFmtId="0" fontId="35" fillId="8" borderId="24" xfId="3" applyFont="1" applyFill="1" applyBorder="1" applyAlignment="1">
      <alignment horizontal="center" vertical="center" wrapText="1"/>
    </xf>
    <xf numFmtId="0" fontId="8" fillId="6" borderId="14" xfId="3" applyFont="1" applyFill="1" applyBorder="1" applyAlignment="1">
      <alignment horizontal="center"/>
    </xf>
    <xf numFmtId="0" fontId="8" fillId="6" borderId="15" xfId="3" applyFont="1" applyFill="1" applyBorder="1" applyAlignment="1">
      <alignment horizont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8" fillId="6" borderId="22" xfId="3" applyFont="1" applyFill="1" applyBorder="1" applyAlignment="1">
      <alignment vertical="center"/>
    </xf>
    <xf numFmtId="0" fontId="8" fillId="6" borderId="16" xfId="3" applyFont="1" applyFill="1" applyBorder="1" applyAlignment="1">
      <alignment vertical="center"/>
    </xf>
    <xf numFmtId="0" fontId="8" fillId="6" borderId="14" xfId="3" applyFont="1" applyFill="1" applyBorder="1" applyAlignment="1">
      <alignment vertical="center"/>
    </xf>
    <xf numFmtId="0" fontId="8" fillId="6" borderId="15" xfId="3" applyFont="1" applyFill="1" applyBorder="1" applyAlignment="1">
      <alignment vertical="center"/>
    </xf>
    <xf numFmtId="0" fontId="27" fillId="2" borderId="0" xfId="3" applyFont="1" applyFill="1" applyAlignment="1">
      <alignment horizontal="justify" vertical="center" wrapText="1"/>
    </xf>
    <xf numFmtId="0" fontId="30" fillId="6" borderId="15"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0" fillId="0" borderId="22"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3" fillId="0" borderId="11" xfId="0" applyFont="1" applyBorder="1" applyAlignment="1">
      <alignment horizontal="left" vertical="center" wrapText="1"/>
    </xf>
    <xf numFmtId="0" fontId="4" fillId="2" borderId="24"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8" fillId="0" borderId="7" xfId="4" applyBorder="1" applyAlignment="1">
      <alignment horizontal="center" vertical="center" wrapText="1"/>
    </xf>
    <xf numFmtId="10" fontId="13" fillId="0" borderId="7" xfId="4" applyNumberFormat="1" applyFont="1" applyBorder="1" applyAlignment="1">
      <alignment horizontal="center" vertical="center"/>
    </xf>
    <xf numFmtId="10" fontId="13" fillId="0" borderId="8" xfId="4" applyNumberFormat="1" applyFont="1" applyBorder="1" applyAlignment="1">
      <alignment horizontal="center" vertical="center"/>
    </xf>
    <xf numFmtId="10" fontId="13" fillId="0" borderId="42" xfId="4" applyNumberFormat="1" applyFont="1" applyBorder="1" applyAlignment="1">
      <alignment horizontal="center" vertical="center"/>
    </xf>
    <xf numFmtId="10" fontId="13" fillId="0" borderId="43" xfId="4" applyNumberFormat="1" applyFont="1" applyBorder="1" applyAlignment="1">
      <alignment horizontal="center" vertical="center"/>
    </xf>
    <xf numFmtId="10" fontId="13" fillId="0" borderId="24" xfId="4" applyNumberFormat="1" applyFont="1" applyBorder="1" applyAlignment="1">
      <alignment horizontal="center" vertical="center"/>
    </xf>
    <xf numFmtId="10" fontId="13" fillId="0" borderId="22" xfId="4" applyNumberFormat="1" applyFont="1" applyBorder="1" applyAlignment="1">
      <alignment horizontal="center" vertical="center"/>
    </xf>
    <xf numFmtId="10" fontId="13" fillId="0" borderId="23" xfId="4" applyNumberFormat="1" applyFont="1" applyBorder="1" applyAlignment="1">
      <alignment horizontal="center" vertical="center"/>
    </xf>
    <xf numFmtId="10" fontId="13" fillId="13" borderId="24" xfId="4" applyNumberFormat="1" applyFont="1" applyFill="1" applyBorder="1" applyAlignment="1">
      <alignment horizontal="center" vertical="center"/>
    </xf>
    <xf numFmtId="10" fontId="13" fillId="13" borderId="22" xfId="4" applyNumberFormat="1" applyFont="1" applyFill="1" applyBorder="1" applyAlignment="1">
      <alignment horizontal="center" vertical="center"/>
    </xf>
    <xf numFmtId="10" fontId="13" fillId="13" borderId="23" xfId="4" applyNumberFormat="1" applyFont="1" applyFill="1" applyBorder="1" applyAlignment="1">
      <alignment horizontal="center" vertical="center"/>
    </xf>
    <xf numFmtId="10" fontId="8" fillId="2" borderId="24" xfId="4" applyNumberFormat="1" applyFill="1" applyBorder="1" applyAlignment="1">
      <alignment horizontal="center" vertical="center"/>
    </xf>
    <xf numFmtId="10" fontId="8" fillId="2" borderId="22" xfId="4" applyNumberFormat="1" applyFill="1" applyBorder="1" applyAlignment="1">
      <alignment horizontal="center" vertical="center"/>
    </xf>
    <xf numFmtId="10" fontId="8" fillId="2" borderId="23" xfId="4" applyNumberFormat="1" applyFill="1" applyBorder="1" applyAlignment="1">
      <alignment horizontal="center" vertical="center"/>
    </xf>
    <xf numFmtId="10" fontId="8" fillId="0" borderId="24" xfId="4" applyNumberFormat="1" applyBorder="1" applyAlignment="1">
      <alignment horizontal="center" vertical="center"/>
    </xf>
    <xf numFmtId="10" fontId="8" fillId="0" borderId="22" xfId="4" applyNumberFormat="1" applyBorder="1" applyAlignment="1">
      <alignment horizontal="center" vertical="center"/>
    </xf>
    <xf numFmtId="10" fontId="8" fillId="0" borderId="23" xfId="4" applyNumberFormat="1" applyBorder="1" applyAlignment="1">
      <alignment horizontal="center" vertical="center"/>
    </xf>
    <xf numFmtId="10" fontId="8" fillId="2" borderId="14" xfId="4" applyNumberFormat="1" applyFill="1" applyBorder="1" applyAlignment="1">
      <alignment horizontal="center" vertical="center"/>
    </xf>
    <xf numFmtId="10" fontId="8" fillId="2" borderId="15" xfId="4" applyNumberFormat="1" applyFill="1" applyBorder="1" applyAlignment="1">
      <alignment horizontal="center" vertical="center"/>
    </xf>
    <xf numFmtId="10" fontId="8" fillId="2" borderId="17" xfId="4" applyNumberFormat="1" applyFill="1" applyBorder="1" applyAlignment="1">
      <alignment horizontal="center" vertical="center"/>
    </xf>
  </cellXfs>
  <cellStyles count="10">
    <cellStyle name="Hipervínculo" xfId="7" builtinId="8"/>
    <cellStyle name="Moneda" xfId="1" builtinId="4"/>
    <cellStyle name="Normal" xfId="0" builtinId="0"/>
    <cellStyle name="Normal 2" xfId="8" xr:uid="{00000000-0005-0000-0000-000003000000}"/>
    <cellStyle name="Normal 2 4" xfId="4" xr:uid="{00000000-0005-0000-0000-000004000000}"/>
    <cellStyle name="Normal 6" xfId="3" xr:uid="{00000000-0005-0000-0000-000005000000}"/>
    <cellStyle name="Porcentaje" xfId="2" builtinId="5"/>
    <cellStyle name="Porcentaje 2" xfId="5" xr:uid="{00000000-0005-0000-0000-000007000000}"/>
    <cellStyle name="Porcentaje 3" xfId="9" xr:uid="{00000000-0005-0000-0000-000008000000}"/>
    <cellStyle name="Porcentaje 5" xfId="6" xr:uid="{00000000-0005-0000-0000-000009000000}"/>
  </cellStyles>
  <dxfs count="4">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innerShdw blurRad="63500" dist="50800" dir="13500000">
                <a:prstClr val="black">
                  <a:alpha val="50000"/>
                </a:prstClr>
              </a:innerShdw>
            </a:effectLst>
          </c:spPr>
          <c:dPt>
            <c:idx val="0"/>
            <c:bubble3D val="0"/>
            <c:spPr>
              <a:solidFill>
                <a:srgbClr val="00B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2-A1E0-4E6A-A97E-DB61DD789502}"/>
              </c:ext>
            </c:extLst>
          </c:dPt>
          <c:dPt>
            <c:idx val="1"/>
            <c:bubble3D val="0"/>
            <c:spPr>
              <a:solidFill>
                <a:srgbClr val="92D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3-A1E0-4E6A-A97E-DB61DD789502}"/>
              </c:ext>
            </c:extLst>
          </c:dPt>
          <c:dPt>
            <c:idx val="2"/>
            <c:bubble3D val="0"/>
            <c:spPr>
              <a:solidFill>
                <a:srgbClr val="FFFF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4-A1E0-4E6A-A97E-DB61DD789502}"/>
              </c:ext>
            </c:extLst>
          </c:dPt>
          <c:dPt>
            <c:idx val="3"/>
            <c:bubble3D val="0"/>
            <c:spPr>
              <a:solidFill>
                <a:schemeClr val="bg1"/>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5-A1E0-4E6A-A97E-DB61DD789502}"/>
              </c:ext>
            </c:extLst>
          </c:dPt>
          <c:dLbls>
            <c:dLbl>
              <c:idx val="0"/>
              <c:layout>
                <c:manualLayout>
                  <c:x val="2.8316356407586493E-2"/>
                  <c:y val="0.108684978244301"/>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solidFill>
                          <a:sysClr val="windowText" lastClr="000000"/>
                        </a:solidFill>
                      </a:rPr>
                      <a:t>56.25%</a:t>
                    </a:r>
                  </a:p>
                </c:rich>
              </c:tx>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0.10318836122047244"/>
                      <c:h val="8.1680083182602559E-2"/>
                    </c:manualLayout>
                  </c15:layout>
                  <c15:showDataLabelsRange val="0"/>
                </c:ext>
                <c:ext xmlns:c16="http://schemas.microsoft.com/office/drawing/2014/chart" uri="{C3380CC4-5D6E-409C-BE32-E72D297353CC}">
                  <c16:uniqueId val="{00000002-A1E0-4E6A-A97E-DB61DD789502}"/>
                </c:ext>
              </c:extLst>
            </c:dLbl>
            <c:dLbl>
              <c:idx val="1"/>
              <c:layout>
                <c:manualLayout>
                  <c:x val="-8.0629289382963765E-2"/>
                  <c:y val="8.539542605715808E-2"/>
                </c:manualLayout>
              </c:layout>
              <c:tx>
                <c:rich>
                  <a:bodyPr/>
                  <a:lstStyle/>
                  <a:p>
                    <a:r>
                      <a:rPr lang="en-US"/>
                      <a:t>35.42%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1E0-4E6A-A97E-DB61DD789502}"/>
                </c:ext>
              </c:extLst>
            </c:dLbl>
            <c:dLbl>
              <c:idx val="2"/>
              <c:layout>
                <c:manualLayout>
                  <c:x val="-8.2766499776786823E-2"/>
                  <c:y val="-8.3946699072509096E-2"/>
                </c:manualLayout>
              </c:layout>
              <c:tx>
                <c:rich>
                  <a:bodyPr/>
                  <a:lstStyle/>
                  <a:p>
                    <a:r>
                      <a:rPr lang="en-US"/>
                      <a:t>6.25%</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1E0-4E6A-A97E-DB61DD789502}"/>
                </c:ext>
              </c:extLst>
            </c:dLbl>
            <c:dLbl>
              <c:idx val="3"/>
              <c:layout>
                <c:manualLayout>
                  <c:x val="-1.6612544752971956E-2"/>
                  <c:y val="-0.14662828660832231"/>
                </c:manualLayout>
              </c:layout>
              <c:tx>
                <c:rich>
                  <a:bodyPr/>
                  <a:lstStyle/>
                  <a:p>
                    <a:r>
                      <a:rPr lang="en-US"/>
                      <a:t>2.08%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1E0-4E6A-A97E-DB61DD78950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Resultados!$B$13:$B$16</c:f>
              <c:strCache>
                <c:ptCount val="4"/>
                <c:pt idx="0">
                  <c:v>Muy satisfactorio</c:v>
                </c:pt>
                <c:pt idx="1">
                  <c:v>Satisfactorio</c:v>
                </c:pt>
                <c:pt idx="2">
                  <c:v>Aceptable</c:v>
                </c:pt>
                <c:pt idx="3">
                  <c:v>Alerta</c:v>
                </c:pt>
              </c:strCache>
            </c:strRef>
          </c:cat>
          <c:val>
            <c:numRef>
              <c:f>Resultados!$C$13:$C$16</c:f>
              <c:numCache>
                <c:formatCode>General</c:formatCode>
                <c:ptCount val="4"/>
                <c:pt idx="0">
                  <c:v>27</c:v>
                </c:pt>
                <c:pt idx="1">
                  <c:v>17</c:v>
                </c:pt>
                <c:pt idx="2">
                  <c:v>3</c:v>
                </c:pt>
                <c:pt idx="3">
                  <c:v>1</c:v>
                </c:pt>
              </c:numCache>
            </c:numRef>
          </c:val>
          <c:extLst>
            <c:ext xmlns:c16="http://schemas.microsoft.com/office/drawing/2014/chart" uri="{C3380CC4-5D6E-409C-BE32-E72D297353CC}">
              <c16:uniqueId val="{00000000-A1E0-4E6A-A97E-DB61DD789502}"/>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dk1">
          <a:lumMod val="25000"/>
          <a:lumOff val="75000"/>
        </a:schemeClr>
      </a:solidFill>
      <a:round/>
    </a:ln>
    <a:effectLst>
      <a:innerShdw blurRad="114300">
        <a:prstClr val="black"/>
      </a:inn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3-6DC5-492A-854C-D9A6A2BA6756}"/>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4-6DC5-492A-854C-D9A6A2BA6756}"/>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6DC5-492A-854C-D9A6A2BA6756}"/>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6-6DC5-492A-854C-D9A6A2BA6756}"/>
              </c:ext>
            </c:extLst>
          </c:dPt>
          <c:dPt>
            <c:idx val="4"/>
            <c:bubble3D val="0"/>
            <c:spPr>
              <a:noFill/>
              <a:ln w="19050">
                <a:solidFill>
                  <a:schemeClr val="lt1"/>
                </a:solidFill>
              </a:ln>
              <a:effectLst/>
            </c:spPr>
            <c:extLst>
              <c:ext xmlns:c16="http://schemas.microsoft.com/office/drawing/2014/chart" uri="{C3380CC4-5D6E-409C-BE32-E72D297353CC}">
                <c16:uniqueId val="{00000002-6DC5-492A-854C-D9A6A2BA6756}"/>
              </c:ext>
            </c:extLst>
          </c:dPt>
          <c:val>
            <c:numRef>
              <c:f>Resultados!$I$12:$I$16</c:f>
              <c:numCache>
                <c:formatCode>0%</c:formatCode>
                <c:ptCount val="5"/>
                <c:pt idx="0">
                  <c:v>0.3</c:v>
                </c:pt>
                <c:pt idx="1">
                  <c:v>0.3</c:v>
                </c:pt>
                <c:pt idx="2">
                  <c:v>0.3</c:v>
                </c:pt>
                <c:pt idx="3">
                  <c:v>0.1</c:v>
                </c:pt>
                <c:pt idx="4">
                  <c:v>0.99999999999999989</c:v>
                </c:pt>
              </c:numCache>
            </c:numRef>
          </c:val>
          <c:extLst>
            <c:ext xmlns:c16="http://schemas.microsoft.com/office/drawing/2014/chart" uri="{C3380CC4-5D6E-409C-BE32-E72D297353CC}">
              <c16:uniqueId val="{00000000-6DC5-492A-854C-D9A6A2BA6756}"/>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6DC5-492A-854C-D9A6A2BA6756}"/>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A-6DC5-492A-854C-D9A6A2BA6756}"/>
              </c:ext>
            </c:extLst>
          </c:dPt>
          <c:dPt>
            <c:idx val="2"/>
            <c:bubble3D val="0"/>
            <c:spPr>
              <a:noFill/>
              <a:ln w="19050">
                <a:solidFill>
                  <a:schemeClr val="lt1"/>
                </a:solidFill>
              </a:ln>
              <a:effectLst/>
            </c:spPr>
            <c:extLst>
              <c:ext xmlns:c16="http://schemas.microsoft.com/office/drawing/2014/chart" uri="{C3380CC4-5D6E-409C-BE32-E72D297353CC}">
                <c16:uniqueId val="{00000009-6DC5-492A-854C-D9A6A2BA6756}"/>
              </c:ext>
            </c:extLst>
          </c:dPt>
          <c:val>
            <c:numRef>
              <c:f>Resultados!$I$20:$I$22</c:f>
              <c:numCache>
                <c:formatCode>0%</c:formatCode>
                <c:ptCount val="3"/>
                <c:pt idx="0" formatCode="0.00%">
                  <c:v>0.85458333333333336</c:v>
                </c:pt>
                <c:pt idx="1">
                  <c:v>0.02</c:v>
                </c:pt>
                <c:pt idx="2" formatCode="0.00%">
                  <c:v>1.1254166666666663</c:v>
                </c:pt>
              </c:numCache>
            </c:numRef>
          </c:val>
          <c:extLst>
            <c:ext xmlns:c16="http://schemas.microsoft.com/office/drawing/2014/chart" uri="{C3380CC4-5D6E-409C-BE32-E72D297353CC}">
              <c16:uniqueId val="{00000007-6DC5-492A-854C-D9A6A2BA675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NULL"/><Relationship Id="rId5" Type="http://schemas.openxmlformats.org/officeDocument/2006/relationships/customXml" Target="../ink/ink2.xml"/><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ustomXml" Target="../ink/ink3.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ustomXml" Target="../ink/ink4.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4">
              <a:extLst>
                <a:ext uri="{FF2B5EF4-FFF2-40B4-BE49-F238E27FC236}">
                  <a16:creationId xmlns:a16="http://schemas.microsoft.com/office/drawing/2014/main" id="{8CB78F4A-8E42-46B0-B273-6511BC2AAACF}"/>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6"/>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71439</xdr:colOff>
      <xdr:row>0</xdr:row>
      <xdr:rowOff>23813</xdr:rowOff>
    </xdr:from>
    <xdr:to>
      <xdr:col>10</xdr:col>
      <xdr:colOff>526957</xdr:colOff>
      <xdr:row>0</xdr:row>
      <xdr:rowOff>724182</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9" y="23813"/>
          <a:ext cx="1062037" cy="700369"/>
        </a:xfrm>
        <a:prstGeom prst="rect">
          <a:avLst/>
        </a:prstGeom>
        <a:noFill/>
        <a:ln>
          <a:noFill/>
        </a:ln>
      </xdr:spPr>
    </xdr:pic>
    <xdr:clientData/>
  </xdr:twoCellAnchor>
  <xdr:twoCellAnchor editAs="oneCell">
    <xdr:from>
      <xdr:col>42</xdr:col>
      <xdr:colOff>476247</xdr:colOff>
      <xdr:row>0</xdr:row>
      <xdr:rowOff>23813</xdr:rowOff>
    </xdr:from>
    <xdr:to>
      <xdr:col>43</xdr:col>
      <xdr:colOff>524931</xdr:colOff>
      <xdr:row>0</xdr:row>
      <xdr:rowOff>690563</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85091" y="23813"/>
          <a:ext cx="691621" cy="666750"/>
        </a:xfrm>
        <a:prstGeom prst="rect">
          <a:avLst/>
        </a:prstGeom>
        <a:noFill/>
        <a:ln>
          <a:noFill/>
        </a:ln>
      </xdr:spPr>
    </xdr:pic>
    <xdr:clientData/>
  </xdr:twoCellAnchor>
  <xdr:twoCellAnchor editAs="oneCell">
    <xdr:from>
      <xdr:col>11</xdr:col>
      <xdr:colOff>0</xdr:colOff>
      <xdr:row>9</xdr:row>
      <xdr:rowOff>0</xdr:rowOff>
    </xdr:from>
    <xdr:to>
      <xdr:col>11</xdr:col>
      <xdr:colOff>0</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54</xdr:col>
      <xdr:colOff>0</xdr:colOff>
      <xdr:row>0</xdr:row>
      <xdr:rowOff>35718</xdr:rowOff>
    </xdr:from>
    <xdr:to>
      <xdr:col>54</xdr:col>
      <xdr:colOff>691621</xdr:colOff>
      <xdr:row>0</xdr:row>
      <xdr:rowOff>702468</xdr:rowOff>
    </xdr:to>
    <xdr:pic>
      <xdr:nvPicPr>
        <xdr:cNvPr id="5" name="3 Imagen" descr="C:\Users\john.garcia\Desktop\2020-01-08.png">
          <a:extLst>
            <a:ext uri="{FF2B5EF4-FFF2-40B4-BE49-F238E27FC236}">
              <a16:creationId xmlns:a16="http://schemas.microsoft.com/office/drawing/2014/main" id="{04ACD26C-15F1-4ACA-9AB2-415EE69A6CF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26812" y="35718"/>
          <a:ext cx="691621" cy="666750"/>
        </a:xfrm>
        <a:prstGeom prst="rect">
          <a:avLst/>
        </a:prstGeom>
        <a:noFill/>
        <a:ln>
          <a:noFill/>
        </a:ln>
      </xdr:spPr>
    </xdr:pic>
    <xdr:clientData/>
  </xdr:twoCellAnchor>
  <xdr:twoCellAnchor editAs="oneCell">
    <xdr:from>
      <xdr:col>50</xdr:col>
      <xdr:colOff>83344</xdr:colOff>
      <xdr:row>0</xdr:row>
      <xdr:rowOff>23813</xdr:rowOff>
    </xdr:from>
    <xdr:to>
      <xdr:col>51</xdr:col>
      <xdr:colOff>529057</xdr:colOff>
      <xdr:row>0</xdr:row>
      <xdr:rowOff>724182</xdr:rowOff>
    </xdr:to>
    <xdr:pic>
      <xdr:nvPicPr>
        <xdr:cNvPr id="6" name="5 Imagen" descr="C:\Users\john.garcia\Desktop\LOGO CAPITAL LETRA NEGRA.png">
          <a:extLst>
            <a:ext uri="{FF2B5EF4-FFF2-40B4-BE49-F238E27FC236}">
              <a16:creationId xmlns:a16="http://schemas.microsoft.com/office/drawing/2014/main" id="{65CE2A8C-579E-4B14-9640-558139930A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8063" y="23813"/>
          <a:ext cx="1062037" cy="700369"/>
        </a:xfrm>
        <a:prstGeom prst="rect">
          <a:avLst/>
        </a:prstGeom>
        <a:noFill/>
        <a:ln>
          <a:noFill/>
        </a:ln>
      </xdr:spPr>
    </xdr:pic>
    <xdr:clientData/>
  </xdr:twoCellAnchor>
  <xdr:oneCellAnchor>
    <xdr:from>
      <xdr:col>11</xdr:col>
      <xdr:colOff>0</xdr:colOff>
      <xdr:row>13</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7" name="Entrada de lápiz 6">
              <a:extLst>
                <a:ext uri="{FF2B5EF4-FFF2-40B4-BE49-F238E27FC236}">
                  <a16:creationId xmlns:a16="http://schemas.microsoft.com/office/drawing/2014/main" id="{FB847FCE-7F77-4F2A-A63F-E2896A1DA270}"/>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297656</xdr:colOff>
      <xdr:row>0</xdr:row>
      <xdr:rowOff>23812</xdr:rowOff>
    </xdr:from>
    <xdr:to>
      <xdr:col>1</xdr:col>
      <xdr:colOff>976312</xdr:colOff>
      <xdr:row>0</xdr:row>
      <xdr:rowOff>753110</xdr:rowOff>
    </xdr:to>
    <xdr:pic>
      <xdr:nvPicPr>
        <xdr:cNvPr id="2" name="6 Imagen" descr="C:\Users\john.garcia\Desktop\LOGO CAPITAL LETRA NEGRA.png">
          <a:extLst>
            <a:ext uri="{FF2B5EF4-FFF2-40B4-BE49-F238E27FC236}">
              <a16:creationId xmlns:a16="http://schemas.microsoft.com/office/drawing/2014/main" id="{C943541B-D11D-45B6-87C6-592B728E0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23812"/>
          <a:ext cx="1097756" cy="729298"/>
        </a:xfrm>
        <a:prstGeom prst="rect">
          <a:avLst/>
        </a:prstGeom>
        <a:noFill/>
        <a:ln>
          <a:noFill/>
        </a:ln>
      </xdr:spPr>
    </xdr:pic>
    <xdr:clientData/>
  </xdr:twoCellAnchor>
  <xdr:twoCellAnchor editAs="oneCell">
    <xdr:from>
      <xdr:col>12</xdr:col>
      <xdr:colOff>678657</xdr:colOff>
      <xdr:row>0</xdr:row>
      <xdr:rowOff>23813</xdr:rowOff>
    </xdr:from>
    <xdr:to>
      <xdr:col>13</xdr:col>
      <xdr:colOff>446630</xdr:colOff>
      <xdr:row>0</xdr:row>
      <xdr:rowOff>764591</xdr:rowOff>
    </xdr:to>
    <xdr:pic>
      <xdr:nvPicPr>
        <xdr:cNvPr id="3" name="7 Imagen" descr="C:\Users\john.garcia\Desktop\2020-01-08.png">
          <a:extLst>
            <a:ext uri="{FF2B5EF4-FFF2-40B4-BE49-F238E27FC236}">
              <a16:creationId xmlns:a16="http://schemas.microsoft.com/office/drawing/2014/main" id="{216F8A9F-9F9B-4D49-A87F-3A6F961166B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8782" y="23813"/>
          <a:ext cx="834773" cy="7407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400049</xdr:colOff>
      <xdr:row>2</xdr:row>
      <xdr:rowOff>4762</xdr:rowOff>
    </xdr:from>
    <xdr:to>
      <xdr:col>12</xdr:col>
      <xdr:colOff>628650</xdr:colOff>
      <xdr:row>7</xdr:row>
      <xdr:rowOff>381000</xdr:rowOff>
    </xdr:to>
    <xdr:graphicFrame macro="">
      <xdr:nvGraphicFramePr>
        <xdr:cNvPr id="2" name="Gráfico 1">
          <a:extLst>
            <a:ext uri="{FF2B5EF4-FFF2-40B4-BE49-F238E27FC236}">
              <a16:creationId xmlns:a16="http://schemas.microsoft.com/office/drawing/2014/main" id="{E2595759-3E37-400C-AFC8-9E1D80714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9</xdr:row>
      <xdr:rowOff>23812</xdr:rowOff>
    </xdr:from>
    <xdr:to>
      <xdr:col>13</xdr:col>
      <xdr:colOff>485775</xdr:colOff>
      <xdr:row>24</xdr:row>
      <xdr:rowOff>23812</xdr:rowOff>
    </xdr:to>
    <xdr:grpSp>
      <xdr:nvGrpSpPr>
        <xdr:cNvPr id="11" name="Grupo 10">
          <a:extLst>
            <a:ext uri="{FF2B5EF4-FFF2-40B4-BE49-F238E27FC236}">
              <a16:creationId xmlns:a16="http://schemas.microsoft.com/office/drawing/2014/main" id="{4BB24952-D1FE-447F-AF2A-DEE436AF04A7}"/>
            </a:ext>
          </a:extLst>
        </xdr:cNvPr>
        <xdr:cNvGrpSpPr/>
      </xdr:nvGrpSpPr>
      <xdr:grpSpPr>
        <a:xfrm>
          <a:off x="10334625" y="4195762"/>
          <a:ext cx="3152775" cy="2743200"/>
          <a:chOff x="10334625" y="4100512"/>
          <a:chExt cx="3152775" cy="2743200"/>
        </a:xfrm>
      </xdr:grpSpPr>
      <xdr:grpSp>
        <xdr:nvGrpSpPr>
          <xdr:cNvPr id="5" name="Grupo 4">
            <a:extLst>
              <a:ext uri="{FF2B5EF4-FFF2-40B4-BE49-F238E27FC236}">
                <a16:creationId xmlns:a16="http://schemas.microsoft.com/office/drawing/2014/main" id="{C25E9F95-94D1-4B69-A73D-6C5EDFB03128}"/>
              </a:ext>
            </a:extLst>
          </xdr:cNvPr>
          <xdr:cNvGrpSpPr/>
        </xdr:nvGrpSpPr>
        <xdr:grpSpPr>
          <a:xfrm>
            <a:off x="10334625" y="4100512"/>
            <a:ext cx="3152775" cy="2743200"/>
            <a:chOff x="10267950" y="4310062"/>
            <a:chExt cx="4572000" cy="2743200"/>
          </a:xfrm>
        </xdr:grpSpPr>
        <xdr:graphicFrame macro="">
          <xdr:nvGraphicFramePr>
            <xdr:cNvPr id="3" name="Gráfico 2">
              <a:extLst>
                <a:ext uri="{FF2B5EF4-FFF2-40B4-BE49-F238E27FC236}">
                  <a16:creationId xmlns:a16="http://schemas.microsoft.com/office/drawing/2014/main" id="{71FB2B3C-E626-4928-BB9C-B3194FF5C286}"/>
                </a:ext>
              </a:extLst>
            </xdr:cNvPr>
            <xdr:cNvGraphicFramePr/>
          </xdr:nvGraphicFramePr>
          <xdr:xfrm>
            <a:off x="10267950" y="43100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I$18">
          <xdr:nvSpPr>
            <xdr:cNvPr id="4" name="Rectángulo 3">
              <a:extLst>
                <a:ext uri="{FF2B5EF4-FFF2-40B4-BE49-F238E27FC236}">
                  <a16:creationId xmlns:a16="http://schemas.microsoft.com/office/drawing/2014/main" id="{5E2A4FB6-6988-40C5-8701-C3185BBD699F}"/>
                </a:ext>
              </a:extLst>
            </xdr:cNvPr>
            <xdr:cNvSpPr/>
          </xdr:nvSpPr>
          <xdr:spPr>
            <a:xfrm>
              <a:off x="12160288" y="5495925"/>
              <a:ext cx="110501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7523A74-7366-4B20-9D87-A655AD797AF7}" type="TxLink">
                <a:rPr lang="en-US" sz="1000" b="1" i="0" u="none" strike="noStrike">
                  <a:solidFill>
                    <a:srgbClr val="000000"/>
                  </a:solidFill>
                  <a:latin typeface="Arial" panose="020B0604020202020204" pitchFamily="34" charset="0"/>
                  <a:cs typeface="Arial" panose="020B0604020202020204" pitchFamily="34" charset="0"/>
                </a:rPr>
                <a:pPr algn="l"/>
                <a:t>86.46%</a:t>
              </a:fld>
              <a:endParaRPr lang="es-CO" sz="1000">
                <a:latin typeface="Arial" panose="020B0604020202020204" pitchFamily="34" charset="0"/>
                <a:cs typeface="Arial" panose="020B0604020202020204" pitchFamily="34" charset="0"/>
              </a:endParaRPr>
            </a:p>
          </xdr:txBody>
        </xdr:sp>
      </xdr:grpSp>
      <xdr:sp macro="" textlink="">
        <xdr:nvSpPr>
          <xdr:cNvPr id="6" name="CuadroTexto 5">
            <a:extLst>
              <a:ext uri="{FF2B5EF4-FFF2-40B4-BE49-F238E27FC236}">
                <a16:creationId xmlns:a16="http://schemas.microsoft.com/office/drawing/2014/main" id="{18E06047-8AF4-4EA5-B3A8-800FCA860AE0}"/>
              </a:ext>
            </a:extLst>
          </xdr:cNvPr>
          <xdr:cNvSpPr txBox="1"/>
        </xdr:nvSpPr>
        <xdr:spPr>
          <a:xfrm>
            <a:off x="10506075" y="5305425"/>
            <a:ext cx="409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0%</a:t>
            </a:r>
          </a:p>
        </xdr:txBody>
      </xdr:sp>
      <xdr:sp macro="" textlink="">
        <xdr:nvSpPr>
          <xdr:cNvPr id="7" name="CuadroTexto 6">
            <a:extLst>
              <a:ext uri="{FF2B5EF4-FFF2-40B4-BE49-F238E27FC236}">
                <a16:creationId xmlns:a16="http://schemas.microsoft.com/office/drawing/2014/main" id="{363B42DE-663D-43BC-B2F5-537973896CBF}"/>
              </a:ext>
            </a:extLst>
          </xdr:cNvPr>
          <xdr:cNvSpPr txBox="1"/>
        </xdr:nvSpPr>
        <xdr:spPr>
          <a:xfrm>
            <a:off x="10896601" y="4448175"/>
            <a:ext cx="4953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30%</a:t>
            </a:r>
          </a:p>
        </xdr:txBody>
      </xdr:sp>
      <xdr:sp macro="" textlink="">
        <xdr:nvSpPr>
          <xdr:cNvPr id="8" name="CuadroTexto 7">
            <a:extLst>
              <a:ext uri="{FF2B5EF4-FFF2-40B4-BE49-F238E27FC236}">
                <a16:creationId xmlns:a16="http://schemas.microsoft.com/office/drawing/2014/main" id="{D3A786D8-32B7-43BF-AEA5-5D1F2CCC82A7}"/>
              </a:ext>
            </a:extLst>
          </xdr:cNvPr>
          <xdr:cNvSpPr txBox="1"/>
        </xdr:nvSpPr>
        <xdr:spPr>
          <a:xfrm>
            <a:off x="12068175" y="4314825"/>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60%</a:t>
            </a:r>
          </a:p>
        </xdr:txBody>
      </xdr:sp>
      <xdr:sp macro="" textlink="">
        <xdr:nvSpPr>
          <xdr:cNvPr id="9" name="CuadroTexto 8">
            <a:extLst>
              <a:ext uri="{FF2B5EF4-FFF2-40B4-BE49-F238E27FC236}">
                <a16:creationId xmlns:a16="http://schemas.microsoft.com/office/drawing/2014/main" id="{B4372127-C9C4-4115-B4BD-4B1EBCB1C848}"/>
              </a:ext>
            </a:extLst>
          </xdr:cNvPr>
          <xdr:cNvSpPr txBox="1"/>
        </xdr:nvSpPr>
        <xdr:spPr>
          <a:xfrm>
            <a:off x="12811125" y="5048251"/>
            <a:ext cx="4572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90%</a:t>
            </a:r>
          </a:p>
        </xdr:txBody>
      </xdr:sp>
      <xdr:sp macro="" textlink="">
        <xdr:nvSpPr>
          <xdr:cNvPr id="10" name="CuadroTexto 9">
            <a:extLst>
              <a:ext uri="{FF2B5EF4-FFF2-40B4-BE49-F238E27FC236}">
                <a16:creationId xmlns:a16="http://schemas.microsoft.com/office/drawing/2014/main" id="{3E00F9F2-9C15-423A-B8ED-D58ACED048AC}"/>
              </a:ext>
            </a:extLst>
          </xdr:cNvPr>
          <xdr:cNvSpPr txBox="1"/>
        </xdr:nvSpPr>
        <xdr:spPr>
          <a:xfrm>
            <a:off x="12906375" y="5324475"/>
            <a:ext cx="5048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100%</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67026653-9A4C-4587-AE1E-B1FA28A925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B566B346-DAE2-425A-864A-8844E156E5A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fga/Documents/John%20F/2021/Plan%20de%20fortalecimiento/11.%2020211130/PFI%20Nov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heetName val="Reporte mensual"/>
      <sheetName val="GRÁFICA"/>
    </sheetNames>
    <sheetDataSet>
      <sheetData sheetId="0"/>
      <sheetData sheetId="1">
        <row r="12">
          <cell r="J12">
            <v>0</v>
          </cell>
          <cell r="M12">
            <v>1.7999999999999999E-2</v>
          </cell>
          <cell r="P12">
            <v>5.3999999999999992E-2</v>
          </cell>
          <cell r="S12">
            <v>0</v>
          </cell>
          <cell r="V12">
            <v>0</v>
          </cell>
          <cell r="Y12">
            <v>0</v>
          </cell>
          <cell r="AB12">
            <v>0</v>
          </cell>
          <cell r="AE12">
            <v>0</v>
          </cell>
          <cell r="AH12">
            <v>0</v>
          </cell>
          <cell r="AK12">
            <v>0</v>
          </cell>
          <cell r="AN12">
            <v>0</v>
          </cell>
          <cell r="AQ12">
            <v>0</v>
          </cell>
        </row>
        <row r="13">
          <cell r="J13">
            <v>8.3333333333333332E-3</v>
          </cell>
          <cell r="M13">
            <v>8.3333333333333332E-3</v>
          </cell>
          <cell r="P13">
            <v>8.3333333333333332E-3</v>
          </cell>
          <cell r="S13">
            <v>8.3333333333333332E-3</v>
          </cell>
          <cell r="V13">
            <v>8.3333333333333332E-3</v>
          </cell>
          <cell r="Y13">
            <v>8.3333333333333332E-3</v>
          </cell>
          <cell r="AB13">
            <v>8.3333333333333332E-3</v>
          </cell>
          <cell r="AE13">
            <v>8.3333333333333332E-3</v>
          </cell>
          <cell r="AH13">
            <v>8.3333333333333332E-3</v>
          </cell>
          <cell r="AK13">
            <v>8.3333333333333332E-3</v>
          </cell>
          <cell r="AN13">
            <v>8.3333333333333332E-3</v>
          </cell>
          <cell r="AQ13">
            <v>8.3333333333333332E-3</v>
          </cell>
        </row>
        <row r="14">
          <cell r="J14">
            <v>0</v>
          </cell>
          <cell r="M14">
            <v>5.5199999999999997E-3</v>
          </cell>
          <cell r="P14">
            <v>1.3799999999999998E-2</v>
          </cell>
          <cell r="S14">
            <v>3.9559999999999998E-2</v>
          </cell>
          <cell r="V14">
            <v>2.2540000000000001E-2</v>
          </cell>
          <cell r="Y14">
            <v>2.6679999999999999E-2</v>
          </cell>
          <cell r="AB14">
            <v>1.1039999999999999E-2</v>
          </cell>
          <cell r="AE14">
            <v>1.1039999999999999E-2</v>
          </cell>
          <cell r="AH14">
            <v>2.2999999999999995E-3</v>
          </cell>
          <cell r="AK14">
            <v>2.2999999999999995E-3</v>
          </cell>
          <cell r="AN14">
            <v>2.2999999999999995E-3</v>
          </cell>
          <cell r="AQ14">
            <v>9.1999999999999992E-4</v>
          </cell>
        </row>
        <row r="15">
          <cell r="J15">
            <v>0</v>
          </cell>
          <cell r="M15">
            <v>0.04</v>
          </cell>
          <cell r="P15">
            <v>0.1</v>
          </cell>
          <cell r="S15">
            <v>0.1</v>
          </cell>
          <cell r="V15">
            <v>0.19</v>
          </cell>
          <cell r="Y15">
            <v>0.19</v>
          </cell>
          <cell r="AB15">
            <v>0.19</v>
          </cell>
          <cell r="AE15">
            <v>0.19</v>
          </cell>
          <cell r="AH15">
            <v>0</v>
          </cell>
          <cell r="AK15">
            <v>0</v>
          </cell>
          <cell r="AN15">
            <v>0</v>
          </cell>
          <cell r="AQ15">
            <v>0</v>
          </cell>
        </row>
        <row r="16">
          <cell r="J16">
            <v>0</v>
          </cell>
          <cell r="M16">
            <v>0.04</v>
          </cell>
          <cell r="P16">
            <v>0.1</v>
          </cell>
          <cell r="S16">
            <v>0.46</v>
          </cell>
          <cell r="V16">
            <v>0.4</v>
          </cell>
          <cell r="Y16">
            <v>0</v>
          </cell>
          <cell r="AB16">
            <v>0</v>
          </cell>
          <cell r="AE16">
            <v>0</v>
          </cell>
          <cell r="AH16">
            <v>0</v>
          </cell>
          <cell r="AK16">
            <v>0</v>
          </cell>
          <cell r="AN16">
            <v>0</v>
          </cell>
          <cell r="AQ16">
            <v>0</v>
          </cell>
        </row>
        <row r="17">
          <cell r="J17">
            <v>0</v>
          </cell>
          <cell r="M17">
            <v>0.04</v>
          </cell>
          <cell r="P17">
            <v>0.1</v>
          </cell>
          <cell r="S17">
            <v>0.1</v>
          </cell>
          <cell r="V17">
            <v>0.1</v>
          </cell>
          <cell r="Y17">
            <v>0.66</v>
          </cell>
          <cell r="AB17">
            <v>0</v>
          </cell>
          <cell r="AE17">
            <v>0</v>
          </cell>
          <cell r="AH17">
            <v>0</v>
          </cell>
          <cell r="AK17">
            <v>0</v>
          </cell>
          <cell r="AN17">
            <v>0</v>
          </cell>
          <cell r="AQ17">
            <v>0</v>
          </cell>
        </row>
        <row r="18">
          <cell r="J18">
            <v>0</v>
          </cell>
          <cell r="M18">
            <v>0.04</v>
          </cell>
          <cell r="P18">
            <v>0.1</v>
          </cell>
          <cell r="S18">
            <v>0.86</v>
          </cell>
          <cell r="V18">
            <v>0</v>
          </cell>
          <cell r="Y18">
            <v>0</v>
          </cell>
          <cell r="AB18">
            <v>0</v>
          </cell>
          <cell r="AE18">
            <v>0</v>
          </cell>
          <cell r="AH18">
            <v>0</v>
          </cell>
          <cell r="AK18">
            <v>0</v>
          </cell>
          <cell r="AN18">
            <v>0</v>
          </cell>
          <cell r="AQ18">
            <v>0</v>
          </cell>
        </row>
        <row r="19">
          <cell r="J19">
            <v>0</v>
          </cell>
          <cell r="M19">
            <v>0.04</v>
          </cell>
          <cell r="P19">
            <v>0.1</v>
          </cell>
          <cell r="S19">
            <v>0.1</v>
          </cell>
          <cell r="V19">
            <v>0.19</v>
          </cell>
          <cell r="Y19">
            <v>0.19</v>
          </cell>
          <cell r="AB19">
            <v>0.19</v>
          </cell>
          <cell r="AE19">
            <v>0.19</v>
          </cell>
          <cell r="AH19">
            <v>0</v>
          </cell>
          <cell r="AK19">
            <v>0</v>
          </cell>
          <cell r="AN19">
            <v>0</v>
          </cell>
          <cell r="AQ19">
            <v>0</v>
          </cell>
        </row>
        <row r="20">
          <cell r="J20">
            <v>0</v>
          </cell>
          <cell r="M20">
            <v>0.04</v>
          </cell>
          <cell r="P20">
            <v>0.1</v>
          </cell>
          <cell r="S20">
            <v>0.1</v>
          </cell>
          <cell r="V20">
            <v>0.1</v>
          </cell>
          <cell r="Y20">
            <v>0.12</v>
          </cell>
          <cell r="AB20">
            <v>0.1</v>
          </cell>
          <cell r="AE20">
            <v>0.1</v>
          </cell>
          <cell r="AH20">
            <v>0.1</v>
          </cell>
          <cell r="AK20">
            <v>0.1</v>
          </cell>
          <cell r="AN20">
            <v>0.1</v>
          </cell>
          <cell r="AQ20">
            <v>0.04</v>
          </cell>
        </row>
        <row r="21">
          <cell r="J21">
            <v>0</v>
          </cell>
          <cell r="M21">
            <v>5.7499999999999999E-3</v>
          </cell>
          <cell r="P21">
            <v>1.0349999999999998E-2</v>
          </cell>
          <cell r="S21">
            <v>1.6099999999999996E-2</v>
          </cell>
          <cell r="V21">
            <v>1.6099999999999996E-2</v>
          </cell>
          <cell r="Y21">
            <v>1.3799999999999998E-2</v>
          </cell>
          <cell r="AB21">
            <v>1.0733333333333333E-2</v>
          </cell>
          <cell r="AE21">
            <v>1.7633333333333331E-2</v>
          </cell>
          <cell r="AH21">
            <v>6.1333333333333327E-3</v>
          </cell>
          <cell r="AK21">
            <v>1.1499233333333332E-2</v>
          </cell>
          <cell r="AN21">
            <v>3.4500000000000004E-3</v>
          </cell>
          <cell r="AQ21">
            <v>3.4500000000000004E-3</v>
          </cell>
        </row>
        <row r="22">
          <cell r="J22">
            <v>0</v>
          </cell>
          <cell r="M22">
            <v>0.2</v>
          </cell>
          <cell r="P22">
            <v>0.2</v>
          </cell>
          <cell r="S22">
            <v>0.2</v>
          </cell>
          <cell r="V22">
            <v>0.2</v>
          </cell>
          <cell r="Y22">
            <v>0.2</v>
          </cell>
          <cell r="AB22">
            <v>0</v>
          </cell>
          <cell r="AE22">
            <v>0</v>
          </cell>
          <cell r="AH22">
            <v>0</v>
          </cell>
          <cell r="AK22">
            <v>0</v>
          </cell>
          <cell r="AN22">
            <v>0</v>
          </cell>
          <cell r="AQ22">
            <v>0</v>
          </cell>
        </row>
        <row r="23">
          <cell r="J23">
            <v>0</v>
          </cell>
          <cell r="M23">
            <v>0</v>
          </cell>
          <cell r="P23">
            <v>0.1</v>
          </cell>
          <cell r="S23">
            <v>0.3</v>
          </cell>
          <cell r="V23">
            <v>0.3</v>
          </cell>
          <cell r="Y23">
            <v>0.2</v>
          </cell>
          <cell r="AB23">
            <v>0.1</v>
          </cell>
          <cell r="AE23">
            <v>0</v>
          </cell>
          <cell r="AH23">
            <v>0</v>
          </cell>
          <cell r="AK23">
            <v>0</v>
          </cell>
          <cell r="AN23">
            <v>0</v>
          </cell>
          <cell r="AQ23">
            <v>0</v>
          </cell>
        </row>
        <row r="24">
          <cell r="J24">
            <v>0</v>
          </cell>
          <cell r="M24">
            <v>0</v>
          </cell>
          <cell r="P24">
            <v>0.1</v>
          </cell>
          <cell r="S24">
            <v>0.1</v>
          </cell>
          <cell r="V24">
            <v>0.1</v>
          </cell>
          <cell r="Y24">
            <v>0.1</v>
          </cell>
          <cell r="AB24">
            <v>0.1</v>
          </cell>
          <cell r="AE24">
            <v>0.5</v>
          </cell>
          <cell r="AH24">
            <v>0</v>
          </cell>
          <cell r="AK24">
            <v>0</v>
          </cell>
          <cell r="AN24">
            <v>0</v>
          </cell>
          <cell r="AQ24">
            <v>0</v>
          </cell>
        </row>
        <row r="25">
          <cell r="J25">
            <v>0</v>
          </cell>
          <cell r="M25">
            <v>0</v>
          </cell>
          <cell r="P25">
            <v>0</v>
          </cell>
          <cell r="S25">
            <v>0</v>
          </cell>
          <cell r="V25">
            <v>0</v>
          </cell>
          <cell r="Y25">
            <v>0</v>
          </cell>
          <cell r="AB25">
            <v>0.16666666666666666</v>
          </cell>
          <cell r="AE25">
            <v>0.16666666666666666</v>
          </cell>
          <cell r="AH25">
            <v>0.16666666666666666</v>
          </cell>
          <cell r="AK25">
            <v>0.39996666666666664</v>
          </cell>
          <cell r="AN25">
            <v>0.05</v>
          </cell>
          <cell r="AQ25">
            <v>0.05</v>
          </cell>
        </row>
        <row r="26">
          <cell r="J26">
            <v>0</v>
          </cell>
          <cell r="M26">
            <v>0.05</v>
          </cell>
          <cell r="P26">
            <v>0.05</v>
          </cell>
          <cell r="S26">
            <v>0.1</v>
          </cell>
          <cell r="V26">
            <v>0.1</v>
          </cell>
          <cell r="Y26">
            <v>0.1</v>
          </cell>
          <cell r="AB26">
            <v>0.1</v>
          </cell>
          <cell r="AE26">
            <v>0.1</v>
          </cell>
          <cell r="AH26">
            <v>0.1</v>
          </cell>
          <cell r="AK26">
            <v>0.1</v>
          </cell>
          <cell r="AN26">
            <v>0.1</v>
          </cell>
          <cell r="AQ26">
            <v>0.1</v>
          </cell>
        </row>
        <row r="27">
          <cell r="J27">
            <v>0</v>
          </cell>
          <cell r="M27">
            <v>2.5299999999999993E-3</v>
          </cell>
          <cell r="P27">
            <v>2.2079999999999995E-2</v>
          </cell>
          <cell r="S27">
            <v>1.7479999999999996E-2</v>
          </cell>
          <cell r="V27">
            <v>4.6229999999999986E-2</v>
          </cell>
          <cell r="Y27">
            <v>4.852999999999999E-2</v>
          </cell>
          <cell r="AB27">
            <v>1.0119999999999997E-2</v>
          </cell>
          <cell r="AE27">
            <v>1.0119999999999997E-2</v>
          </cell>
          <cell r="AH27">
            <v>2.5069999999999999E-2</v>
          </cell>
          <cell r="AK27">
            <v>1.3569999999999997E-2</v>
          </cell>
          <cell r="AN27">
            <v>8.9699999999999988E-3</v>
          </cell>
          <cell r="AQ27">
            <v>2.53E-2</v>
          </cell>
        </row>
        <row r="28">
          <cell r="J28">
            <v>0</v>
          </cell>
          <cell r="M28">
            <v>0</v>
          </cell>
          <cell r="P28">
            <v>0.1</v>
          </cell>
          <cell r="S28">
            <v>0.1</v>
          </cell>
          <cell r="V28">
            <v>0.1</v>
          </cell>
          <cell r="Y28">
            <v>0.1</v>
          </cell>
          <cell r="AB28">
            <v>0.1</v>
          </cell>
          <cell r="AE28">
            <v>0.1</v>
          </cell>
          <cell r="AH28">
            <v>0.1</v>
          </cell>
          <cell r="AK28">
            <v>0.1</v>
          </cell>
          <cell r="AN28">
            <v>0.1</v>
          </cell>
          <cell r="AQ28">
            <v>0.1</v>
          </cell>
        </row>
        <row r="29">
          <cell r="J29">
            <v>0</v>
          </cell>
          <cell r="M29">
            <v>0</v>
          </cell>
          <cell r="P29">
            <v>0.1</v>
          </cell>
          <cell r="S29">
            <v>0.2</v>
          </cell>
          <cell r="V29">
            <v>0.3</v>
          </cell>
          <cell r="Y29">
            <v>0.4</v>
          </cell>
          <cell r="AB29">
            <v>0</v>
          </cell>
          <cell r="AE29">
            <v>0</v>
          </cell>
          <cell r="AH29">
            <v>0</v>
          </cell>
          <cell r="AK29">
            <v>0</v>
          </cell>
          <cell r="AN29">
            <v>0</v>
          </cell>
          <cell r="AQ29">
            <v>0</v>
          </cell>
        </row>
        <row r="30">
          <cell r="J30">
            <v>0</v>
          </cell>
          <cell r="M30">
            <v>0</v>
          </cell>
          <cell r="P30">
            <v>0</v>
          </cell>
          <cell r="S30">
            <v>0</v>
          </cell>
          <cell r="V30">
            <v>0.5</v>
          </cell>
          <cell r="Y30">
            <v>0.5</v>
          </cell>
          <cell r="AB30">
            <v>0</v>
          </cell>
          <cell r="AE30">
            <v>0</v>
          </cell>
          <cell r="AH30">
            <v>0</v>
          </cell>
          <cell r="AK30">
            <v>0</v>
          </cell>
          <cell r="AN30">
            <v>0</v>
          </cell>
          <cell r="AQ30">
            <v>0</v>
          </cell>
        </row>
        <row r="31">
          <cell r="J31">
            <v>0</v>
          </cell>
          <cell r="M31">
            <v>0</v>
          </cell>
          <cell r="P31">
            <v>0</v>
          </cell>
          <cell r="S31">
            <v>0</v>
          </cell>
          <cell r="V31">
            <v>0.25</v>
          </cell>
          <cell r="Y31">
            <v>0.25</v>
          </cell>
          <cell r="AB31">
            <v>0</v>
          </cell>
          <cell r="AE31">
            <v>0</v>
          </cell>
          <cell r="AH31">
            <v>0.25</v>
          </cell>
          <cell r="AK31">
            <v>0.25</v>
          </cell>
          <cell r="AN31">
            <v>0</v>
          </cell>
          <cell r="AQ31">
            <v>0</v>
          </cell>
        </row>
        <row r="32">
          <cell r="J32">
            <v>0</v>
          </cell>
          <cell r="M32">
            <v>0</v>
          </cell>
          <cell r="P32">
            <v>0.25</v>
          </cell>
          <cell r="S32">
            <v>0.25</v>
          </cell>
          <cell r="V32">
            <v>0.5</v>
          </cell>
          <cell r="Y32">
            <v>0</v>
          </cell>
          <cell r="AB32">
            <v>0</v>
          </cell>
          <cell r="AE32">
            <v>0</v>
          </cell>
          <cell r="AH32">
            <v>0</v>
          </cell>
          <cell r="AK32">
            <v>0</v>
          </cell>
          <cell r="AN32">
            <v>0</v>
          </cell>
          <cell r="AQ32">
            <v>0</v>
          </cell>
        </row>
        <row r="33">
          <cell r="J33">
            <v>0</v>
          </cell>
          <cell r="M33">
            <v>0.02</v>
          </cell>
          <cell r="P33">
            <v>7.0000000000000007E-2</v>
          </cell>
          <cell r="S33">
            <v>0.12</v>
          </cell>
          <cell r="V33">
            <v>0.12</v>
          </cell>
          <cell r="Y33">
            <v>0.12</v>
          </cell>
          <cell r="AB33">
            <v>0.1</v>
          </cell>
          <cell r="AE33">
            <v>0.1</v>
          </cell>
          <cell r="AH33">
            <v>0.1</v>
          </cell>
          <cell r="AK33">
            <v>0.1</v>
          </cell>
          <cell r="AN33">
            <v>0.1</v>
          </cell>
          <cell r="AQ33">
            <v>0.05</v>
          </cell>
        </row>
        <row r="34">
          <cell r="J34">
            <v>0</v>
          </cell>
          <cell r="M34">
            <v>0</v>
          </cell>
          <cell r="P34">
            <v>0.1</v>
          </cell>
          <cell r="S34">
            <v>0</v>
          </cell>
          <cell r="V34">
            <v>0.15</v>
          </cell>
          <cell r="Y34">
            <v>0.15</v>
          </cell>
          <cell r="AB34">
            <v>0.15</v>
          </cell>
          <cell r="AE34">
            <v>0.15</v>
          </cell>
          <cell r="AH34">
            <v>0.05</v>
          </cell>
          <cell r="AK34">
            <v>0.05</v>
          </cell>
          <cell r="AN34">
            <v>0.1</v>
          </cell>
          <cell r="AQ34">
            <v>0.1</v>
          </cell>
        </row>
        <row r="35">
          <cell r="J35">
            <v>0</v>
          </cell>
          <cell r="M35">
            <v>0</v>
          </cell>
          <cell r="P35">
            <v>0</v>
          </cell>
          <cell r="S35">
            <v>0</v>
          </cell>
          <cell r="V35">
            <v>0</v>
          </cell>
          <cell r="Y35">
            <v>0.25</v>
          </cell>
          <cell r="AB35">
            <v>0</v>
          </cell>
          <cell r="AE35">
            <v>0</v>
          </cell>
          <cell r="AH35">
            <v>0.25</v>
          </cell>
          <cell r="AK35">
            <v>0</v>
          </cell>
          <cell r="AN35">
            <v>0</v>
          </cell>
          <cell r="AQ35">
            <v>0.5</v>
          </cell>
        </row>
        <row r="36">
          <cell r="J36">
            <v>0</v>
          </cell>
          <cell r="M36">
            <v>0</v>
          </cell>
          <cell r="P36">
            <v>0.25</v>
          </cell>
          <cell r="S36">
            <v>0</v>
          </cell>
          <cell r="V36">
            <v>0</v>
          </cell>
          <cell r="Y36">
            <v>0.25</v>
          </cell>
          <cell r="AB36">
            <v>0</v>
          </cell>
          <cell r="AE36">
            <v>0</v>
          </cell>
          <cell r="AH36">
            <v>0.25</v>
          </cell>
          <cell r="AK36">
            <v>0</v>
          </cell>
          <cell r="AN36">
            <v>0</v>
          </cell>
          <cell r="AQ36">
            <v>0.25</v>
          </cell>
        </row>
        <row r="37">
          <cell r="J37">
            <v>0</v>
          </cell>
          <cell r="M37">
            <v>0.09</v>
          </cell>
          <cell r="P37">
            <v>0.09</v>
          </cell>
          <cell r="S37">
            <v>0.09</v>
          </cell>
          <cell r="V37">
            <v>0.09</v>
          </cell>
          <cell r="Y37">
            <v>0.09</v>
          </cell>
          <cell r="AB37">
            <v>0.09</v>
          </cell>
          <cell r="AE37">
            <v>0.09</v>
          </cell>
          <cell r="AH37">
            <v>0.09</v>
          </cell>
          <cell r="AK37">
            <v>0.09</v>
          </cell>
          <cell r="AN37">
            <v>0.09</v>
          </cell>
          <cell r="AQ37">
            <v>0.1</v>
          </cell>
        </row>
        <row r="38">
          <cell r="J38">
            <v>0</v>
          </cell>
          <cell r="M38">
            <v>0</v>
          </cell>
          <cell r="P38">
            <v>0</v>
          </cell>
          <cell r="S38">
            <v>5.7499999999999999E-3</v>
          </cell>
          <cell r="V38">
            <v>0</v>
          </cell>
          <cell r="Y38">
            <v>0</v>
          </cell>
          <cell r="AB38">
            <v>5.7499999999999999E-3</v>
          </cell>
          <cell r="AE38">
            <v>6.8999999999999999E-3</v>
          </cell>
          <cell r="AH38">
            <v>6.8999999999999999E-3</v>
          </cell>
          <cell r="AK38">
            <v>9.1999999999999998E-3</v>
          </cell>
          <cell r="AN38">
            <v>5.7499999999999999E-3</v>
          </cell>
          <cell r="AQ38">
            <v>5.7499999999999999E-3</v>
          </cell>
        </row>
        <row r="39">
          <cell r="J39">
            <v>0</v>
          </cell>
          <cell r="M39">
            <v>0</v>
          </cell>
          <cell r="P39">
            <v>0</v>
          </cell>
          <cell r="S39">
            <v>0.25</v>
          </cell>
          <cell r="V39">
            <v>0</v>
          </cell>
          <cell r="Y39">
            <v>0</v>
          </cell>
          <cell r="AB39">
            <v>0.25</v>
          </cell>
          <cell r="AE39">
            <v>0</v>
          </cell>
          <cell r="AH39">
            <v>0</v>
          </cell>
          <cell r="AK39">
            <v>0</v>
          </cell>
          <cell r="AN39">
            <v>0.25</v>
          </cell>
          <cell r="AQ39">
            <v>0.25</v>
          </cell>
        </row>
        <row r="40">
          <cell r="J40">
            <v>0</v>
          </cell>
          <cell r="M40">
            <v>0</v>
          </cell>
          <cell r="P40">
            <v>0</v>
          </cell>
          <cell r="S40">
            <v>0</v>
          </cell>
          <cell r="V40">
            <v>0</v>
          </cell>
          <cell r="Y40">
            <v>0</v>
          </cell>
          <cell r="AB40">
            <v>0</v>
          </cell>
          <cell r="AE40">
            <v>0.3</v>
          </cell>
          <cell r="AH40">
            <v>0.3</v>
          </cell>
          <cell r="AK40">
            <v>0.4</v>
          </cell>
          <cell r="AN40">
            <v>0</v>
          </cell>
          <cell r="AQ40">
            <v>0</v>
          </cell>
        </row>
        <row r="41">
          <cell r="J41">
            <v>0</v>
          </cell>
          <cell r="M41">
            <v>0</v>
          </cell>
          <cell r="P41">
            <v>6.8999999999999999E-3</v>
          </cell>
          <cell r="S41">
            <v>8.0499999999999999E-3</v>
          </cell>
          <cell r="V41">
            <v>8.0499999999999999E-3</v>
          </cell>
          <cell r="Y41">
            <v>4.5999999999999999E-3</v>
          </cell>
          <cell r="AB41">
            <v>4.5999999999999999E-3</v>
          </cell>
          <cell r="AE41">
            <v>2.7600000000000003E-2</v>
          </cell>
          <cell r="AH41">
            <v>1.9549999999999998E-2</v>
          </cell>
          <cell r="AK41">
            <v>6.8999999999999999E-3</v>
          </cell>
          <cell r="AN41">
            <v>4.5999999999999999E-3</v>
          </cell>
          <cell r="AQ41">
            <v>1.15E-3</v>
          </cell>
        </row>
        <row r="42">
          <cell r="J42">
            <v>0</v>
          </cell>
          <cell r="M42">
            <v>0</v>
          </cell>
          <cell r="P42">
            <v>0.25</v>
          </cell>
          <cell r="S42">
            <v>0.25</v>
          </cell>
          <cell r="V42">
            <v>0.25</v>
          </cell>
          <cell r="Y42">
            <v>0.05</v>
          </cell>
          <cell r="AB42">
            <v>0.1</v>
          </cell>
          <cell r="AE42">
            <v>0.1</v>
          </cell>
          <cell r="AH42">
            <v>0</v>
          </cell>
          <cell r="AK42">
            <v>0</v>
          </cell>
          <cell r="AN42">
            <v>0</v>
          </cell>
          <cell r="AQ42">
            <v>0</v>
          </cell>
        </row>
        <row r="43">
          <cell r="J43">
            <v>0</v>
          </cell>
          <cell r="M43">
            <v>0</v>
          </cell>
          <cell r="P43">
            <v>0</v>
          </cell>
          <cell r="S43">
            <v>0</v>
          </cell>
          <cell r="V43">
            <v>0</v>
          </cell>
          <cell r="Y43">
            <v>0</v>
          </cell>
          <cell r="AB43">
            <v>0</v>
          </cell>
          <cell r="AE43">
            <v>0.5</v>
          </cell>
          <cell r="AH43">
            <v>0.5</v>
          </cell>
          <cell r="AK43">
            <v>0</v>
          </cell>
          <cell r="AN43">
            <v>0</v>
          </cell>
          <cell r="AQ43">
            <v>0</v>
          </cell>
        </row>
        <row r="44">
          <cell r="J44">
            <v>0</v>
          </cell>
          <cell r="M44">
            <v>0</v>
          </cell>
          <cell r="P44">
            <v>0</v>
          </cell>
          <cell r="S44">
            <v>0</v>
          </cell>
          <cell r="V44">
            <v>0</v>
          </cell>
          <cell r="Y44">
            <v>0</v>
          </cell>
          <cell r="AB44">
            <v>0</v>
          </cell>
          <cell r="AE44">
            <v>0.5</v>
          </cell>
          <cell r="AH44">
            <v>0.25</v>
          </cell>
          <cell r="AK44">
            <v>0.15</v>
          </cell>
          <cell r="AN44">
            <v>0.1</v>
          </cell>
          <cell r="AQ44">
            <v>0</v>
          </cell>
        </row>
        <row r="45">
          <cell r="J45">
            <v>0</v>
          </cell>
          <cell r="M45">
            <v>0</v>
          </cell>
          <cell r="P45">
            <v>0.05</v>
          </cell>
          <cell r="S45">
            <v>0.1</v>
          </cell>
          <cell r="V45">
            <v>0.1</v>
          </cell>
          <cell r="Y45">
            <v>0.15</v>
          </cell>
          <cell r="AB45">
            <v>0.1</v>
          </cell>
          <cell r="AE45">
            <v>0.1</v>
          </cell>
          <cell r="AH45">
            <v>0.1</v>
          </cell>
          <cell r="AK45">
            <v>0.15</v>
          </cell>
          <cell r="AN45">
            <v>0.1</v>
          </cell>
          <cell r="AQ45">
            <v>0.05</v>
          </cell>
        </row>
        <row r="46">
          <cell r="J46">
            <v>0</v>
          </cell>
          <cell r="M46">
            <v>9.2000000000000014E-4</v>
          </cell>
          <cell r="P46">
            <v>6.9000000000000016E-3</v>
          </cell>
          <cell r="S46">
            <v>6.9000000000000016E-3</v>
          </cell>
          <cell r="V46">
            <v>8.9700000000000005E-3</v>
          </cell>
          <cell r="Y46">
            <v>1.771E-2</v>
          </cell>
          <cell r="AB46">
            <v>4.5999999999999999E-3</v>
          </cell>
          <cell r="AE46">
            <v>1.38E-2</v>
          </cell>
          <cell r="AH46">
            <v>2.3E-3</v>
          </cell>
          <cell r="AK46">
            <v>2.3E-3</v>
          </cell>
          <cell r="AN46">
            <v>2.3E-3</v>
          </cell>
          <cell r="AQ46">
            <v>2.3E-3</v>
          </cell>
        </row>
        <row r="47">
          <cell r="J47">
            <v>0</v>
          </cell>
          <cell r="M47">
            <v>0</v>
          </cell>
          <cell r="P47">
            <v>0.1</v>
          </cell>
          <cell r="S47">
            <v>0.1</v>
          </cell>
          <cell r="V47">
            <v>0.1</v>
          </cell>
          <cell r="Y47">
            <v>0.1</v>
          </cell>
          <cell r="AB47">
            <v>0.1</v>
          </cell>
          <cell r="AE47">
            <v>0.1</v>
          </cell>
          <cell r="AH47">
            <v>0.1</v>
          </cell>
          <cell r="AK47">
            <v>0.1</v>
          </cell>
          <cell r="AN47">
            <v>0.1</v>
          </cell>
          <cell r="AQ47">
            <v>0.1</v>
          </cell>
        </row>
        <row r="48">
          <cell r="J48">
            <v>0</v>
          </cell>
          <cell r="M48">
            <v>0</v>
          </cell>
          <cell r="P48">
            <v>0.1</v>
          </cell>
          <cell r="S48">
            <v>0.1</v>
          </cell>
          <cell r="V48">
            <v>0.1</v>
          </cell>
          <cell r="Y48">
            <v>0.1</v>
          </cell>
          <cell r="AB48">
            <v>0.1</v>
          </cell>
          <cell r="AE48">
            <v>0.5</v>
          </cell>
          <cell r="AH48">
            <v>0</v>
          </cell>
          <cell r="AK48">
            <v>0</v>
          </cell>
          <cell r="AN48">
            <v>0</v>
          </cell>
          <cell r="AQ48">
            <v>0</v>
          </cell>
        </row>
        <row r="49">
          <cell r="J49">
            <v>0</v>
          </cell>
          <cell r="M49">
            <v>0.04</v>
          </cell>
          <cell r="P49">
            <v>0.1</v>
          </cell>
          <cell r="S49">
            <v>0.1</v>
          </cell>
          <cell r="V49">
            <v>0.19</v>
          </cell>
          <cell r="Y49">
            <v>0.57000000000000006</v>
          </cell>
          <cell r="AB49">
            <v>0</v>
          </cell>
          <cell r="AE49">
            <v>0</v>
          </cell>
          <cell r="AH49">
            <v>0</v>
          </cell>
          <cell r="AK49">
            <v>0</v>
          </cell>
          <cell r="AN49">
            <v>0</v>
          </cell>
          <cell r="AQ49">
            <v>0</v>
          </cell>
        </row>
        <row r="50">
          <cell r="J50">
            <v>0</v>
          </cell>
          <cell r="M50">
            <v>0</v>
          </cell>
          <cell r="P50">
            <v>9.1999999999999981E-3</v>
          </cell>
          <cell r="S50">
            <v>1.0349999999999998E-2</v>
          </cell>
          <cell r="V50">
            <v>8.5099999999999985E-3</v>
          </cell>
          <cell r="Y50">
            <v>2.5759999999999998E-2</v>
          </cell>
          <cell r="AB50">
            <v>4.0755999999999987E-2</v>
          </cell>
          <cell r="AE50">
            <v>2.3505999999999999E-2</v>
          </cell>
          <cell r="AH50">
            <v>7.4059999999999994E-3</v>
          </cell>
          <cell r="AK50">
            <v>5.703999999999999E-3</v>
          </cell>
          <cell r="AN50">
            <v>5.703999999999999E-3</v>
          </cell>
          <cell r="AQ50">
            <v>1.1039999999999999E-3</v>
          </cell>
        </row>
        <row r="51">
          <cell r="J51">
            <v>0</v>
          </cell>
          <cell r="M51">
            <v>0</v>
          </cell>
          <cell r="P51">
            <v>0</v>
          </cell>
          <cell r="S51">
            <v>0</v>
          </cell>
          <cell r="V51">
            <v>0</v>
          </cell>
          <cell r="Y51">
            <v>0</v>
          </cell>
          <cell r="AB51">
            <v>0.5</v>
          </cell>
          <cell r="AE51">
            <v>0.5</v>
          </cell>
          <cell r="AH51">
            <v>0</v>
          </cell>
          <cell r="AK51">
            <v>0</v>
          </cell>
          <cell r="AN51">
            <v>0</v>
          </cell>
          <cell r="AQ51">
            <v>0</v>
          </cell>
        </row>
        <row r="52">
          <cell r="J52">
            <v>0</v>
          </cell>
          <cell r="M52">
            <v>0</v>
          </cell>
          <cell r="P52">
            <v>0</v>
          </cell>
          <cell r="S52">
            <v>0.25</v>
          </cell>
          <cell r="V52">
            <v>0.25</v>
          </cell>
          <cell r="Y52">
            <v>0</v>
          </cell>
          <cell r="AB52">
            <v>0</v>
          </cell>
          <cell r="AE52">
            <v>0.25</v>
          </cell>
          <cell r="AH52">
            <v>0.25</v>
          </cell>
          <cell r="AK52">
            <v>0</v>
          </cell>
          <cell r="AN52">
            <v>0</v>
          </cell>
          <cell r="AQ52">
            <v>0</v>
          </cell>
        </row>
        <row r="53">
          <cell r="J53">
            <v>0</v>
          </cell>
          <cell r="M53">
            <v>0</v>
          </cell>
          <cell r="P53">
            <v>0.2</v>
          </cell>
          <cell r="S53">
            <v>0</v>
          </cell>
          <cell r="V53">
            <v>0</v>
          </cell>
          <cell r="Y53">
            <v>0</v>
          </cell>
          <cell r="AB53">
            <v>0.2</v>
          </cell>
          <cell r="AE53">
            <v>0.2</v>
          </cell>
          <cell r="AH53">
            <v>0</v>
          </cell>
          <cell r="AK53">
            <v>0.2</v>
          </cell>
          <cell r="AN53">
            <v>0.2</v>
          </cell>
          <cell r="AQ53">
            <v>0</v>
          </cell>
        </row>
        <row r="54">
          <cell r="J54">
            <v>0</v>
          </cell>
          <cell r="M54">
            <v>0</v>
          </cell>
          <cell r="P54">
            <v>0.2</v>
          </cell>
          <cell r="S54">
            <v>0.2</v>
          </cell>
          <cell r="V54">
            <v>0.12</v>
          </cell>
          <cell r="Y54">
            <v>0.12</v>
          </cell>
          <cell r="AB54">
            <v>7.1999999999999995E-2</v>
          </cell>
          <cell r="AE54">
            <v>7.1999999999999995E-2</v>
          </cell>
          <cell r="AH54">
            <v>7.1999999999999995E-2</v>
          </cell>
          <cell r="AK54">
            <v>4.8000000000000001E-2</v>
          </cell>
          <cell r="AN54">
            <v>4.8000000000000001E-2</v>
          </cell>
          <cell r="AQ54">
            <v>4.8000000000000001E-2</v>
          </cell>
        </row>
        <row r="55">
          <cell r="J55">
            <v>0</v>
          </cell>
          <cell r="M55">
            <v>0</v>
          </cell>
          <cell r="P55">
            <v>0</v>
          </cell>
          <cell r="S55">
            <v>0</v>
          </cell>
          <cell r="V55">
            <v>0</v>
          </cell>
          <cell r="Y55">
            <v>0.5</v>
          </cell>
          <cell r="AB55">
            <v>0.5</v>
          </cell>
          <cell r="AE55">
            <v>0</v>
          </cell>
          <cell r="AH55">
            <v>0</v>
          </cell>
          <cell r="AK55">
            <v>0</v>
          </cell>
          <cell r="AN55">
            <v>0</v>
          </cell>
          <cell r="AQ55">
            <v>0</v>
          </cell>
        </row>
        <row r="56">
          <cell r="J56">
            <v>0</v>
          </cell>
          <cell r="M56">
            <v>0</v>
          </cell>
          <cell r="P56">
            <v>0</v>
          </cell>
          <cell r="S56">
            <v>0</v>
          </cell>
          <cell r="V56">
            <v>0</v>
          </cell>
          <cell r="Y56">
            <v>0.5</v>
          </cell>
          <cell r="AB56">
            <v>0.5</v>
          </cell>
          <cell r="AE56">
            <v>0</v>
          </cell>
          <cell r="AH56">
            <v>0</v>
          </cell>
          <cell r="AK56">
            <v>0</v>
          </cell>
          <cell r="AN56">
            <v>0</v>
          </cell>
          <cell r="AQ56">
            <v>0</v>
          </cell>
        </row>
      </sheetData>
      <sheetData sheetId="2"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1:29:46.212"/>
    </inkml:context>
    <inkml:brush xml:id="br0">
      <inkml:brushProperty name="width" value="0.05" units="cm"/>
      <inkml:brushProperty name="height" value="0.05" units="cm"/>
    </inkml:brush>
  </inkml:definitions>
  <inkml:trace contextRef="#ctx0" brushRef="#br0">0 0 1296,'0'0'320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3:00:12.557"/>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gota.gov.co/sites/default/files/acuerdo-761-de-2020-pdd.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tabSelected="1" zoomScale="85" zoomScaleNormal="85" workbookViewId="0">
      <selection activeCell="A9" sqref="A9:A10"/>
    </sheetView>
  </sheetViews>
  <sheetFormatPr baseColWidth="10" defaultColWidth="11.42578125" defaultRowHeight="12.75" x14ac:dyDescent="0.2"/>
  <cols>
    <col min="1" max="1" width="23.85546875" style="295" customWidth="1"/>
    <col min="2" max="2" width="23.85546875" style="493" customWidth="1"/>
    <col min="3" max="3" width="23.85546875" style="295" customWidth="1"/>
    <col min="4" max="4" width="41.5703125" style="295" customWidth="1"/>
    <col min="5" max="5" width="25.140625" style="295" customWidth="1"/>
    <col min="6" max="6" width="21.5703125" style="295" customWidth="1"/>
    <col min="7" max="7" width="17.42578125" style="295" customWidth="1"/>
    <col min="8" max="8" width="19.42578125" style="295" customWidth="1"/>
    <col min="9" max="9" width="10.28515625" style="494" customWidth="1"/>
    <col min="10" max="10" width="26.85546875" style="295" customWidth="1"/>
    <col min="11" max="11" width="47.85546875" style="295" customWidth="1"/>
    <col min="12" max="12" width="25.42578125" style="295" customWidth="1"/>
    <col min="13" max="13" width="22.7109375" style="295" customWidth="1"/>
    <col min="14" max="14" width="19.42578125" style="295" customWidth="1"/>
    <col min="15" max="15" width="38.42578125" style="295" customWidth="1"/>
    <col min="16" max="16" width="32.7109375" style="295" customWidth="1"/>
    <col min="17" max="17" width="21" style="295" customWidth="1"/>
    <col min="18" max="18" width="16.7109375" style="295" customWidth="1"/>
    <col min="19" max="22" width="21.7109375" style="295" customWidth="1"/>
    <col min="23" max="26" width="21.7109375" style="295" hidden="1" customWidth="1"/>
    <col min="27" max="27" width="46.42578125" style="295" customWidth="1"/>
    <col min="28" max="28" width="32.28515625" style="295" customWidth="1"/>
    <col min="29" max="29" width="19.42578125" style="295" customWidth="1"/>
    <col min="30" max="31" width="24.42578125" style="295" customWidth="1"/>
    <col min="32" max="32" width="60.7109375" style="295" customWidth="1"/>
    <col min="33" max="33" width="18.42578125" style="295" customWidth="1"/>
    <col min="34" max="34" width="19.7109375" style="295" customWidth="1"/>
    <col min="35" max="16384" width="11.42578125" style="295"/>
  </cols>
  <sheetData>
    <row r="1" spans="1:37" s="1" customFormat="1" ht="57.75" customHeight="1" thickBot="1" x14ac:dyDescent="0.25">
      <c r="A1" s="606" t="s">
        <v>0</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8"/>
    </row>
    <row r="2" spans="1:37" s="1" customFormat="1" ht="6.75" customHeight="1" x14ac:dyDescent="0.2">
      <c r="A2" s="609"/>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10"/>
    </row>
    <row r="3" spans="1:37" s="1" customFormat="1" ht="19.5" customHeight="1" x14ac:dyDescent="0.2">
      <c r="A3" s="2" t="s">
        <v>2</v>
      </c>
      <c r="B3" s="6">
        <v>44537</v>
      </c>
      <c r="C3" s="4"/>
      <c r="D3" s="4"/>
      <c r="E3" s="4"/>
      <c r="F3" s="4"/>
      <c r="G3" s="4"/>
      <c r="H3" s="4"/>
      <c r="I3" s="353"/>
      <c r="J3" s="4"/>
      <c r="K3" s="4"/>
      <c r="L3" s="4"/>
      <c r="M3" s="4"/>
      <c r="N3" s="4"/>
      <c r="O3" s="4"/>
      <c r="P3" s="4"/>
      <c r="Q3" s="4"/>
      <c r="R3" s="4"/>
      <c r="S3" s="4"/>
      <c r="T3" s="4"/>
      <c r="U3" s="4"/>
      <c r="V3" s="4"/>
      <c r="W3" s="4"/>
      <c r="X3" s="4"/>
      <c r="Y3" s="4"/>
      <c r="Z3" s="4"/>
      <c r="AA3" s="4"/>
      <c r="AB3" s="4"/>
      <c r="AC3" s="4"/>
      <c r="AD3" s="4"/>
      <c r="AE3" s="4"/>
      <c r="AF3" s="4"/>
      <c r="AG3" s="4"/>
      <c r="AH3" s="5"/>
    </row>
    <row r="4" spans="1:37" s="1" customFormat="1" ht="51" customHeight="1" x14ac:dyDescent="0.2">
      <c r="A4" s="2" t="s">
        <v>1</v>
      </c>
      <c r="B4" s="627" t="s">
        <v>1436</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8"/>
    </row>
    <row r="5" spans="1:37" s="1" customFormat="1" ht="6.75" customHeight="1" thickBot="1" x14ac:dyDescent="0.25">
      <c r="A5" s="7"/>
      <c r="B5" s="7"/>
      <c r="C5" s="7"/>
      <c r="D5" s="7"/>
      <c r="E5" s="7"/>
      <c r="F5" s="7"/>
      <c r="G5" s="7"/>
      <c r="H5" s="7"/>
      <c r="I5" s="354"/>
      <c r="J5" s="7"/>
      <c r="K5" s="7"/>
      <c r="L5" s="7"/>
      <c r="M5" s="7"/>
      <c r="N5" s="7"/>
      <c r="O5" s="7"/>
      <c r="P5" s="7"/>
      <c r="Q5" s="7"/>
      <c r="R5" s="7"/>
      <c r="S5" s="7"/>
      <c r="T5" s="7"/>
      <c r="U5" s="7"/>
      <c r="V5" s="7"/>
      <c r="W5" s="7"/>
      <c r="X5" s="7"/>
      <c r="Y5" s="7"/>
      <c r="Z5" s="7"/>
      <c r="AA5" s="7"/>
      <c r="AB5" s="7"/>
      <c r="AC5" s="7"/>
      <c r="AD5" s="7"/>
      <c r="AE5" s="7"/>
      <c r="AF5" s="7"/>
      <c r="AG5" s="7"/>
      <c r="AH5" s="8"/>
    </row>
    <row r="6" spans="1:37" s="1" customFormat="1" ht="17.25" customHeight="1" thickBot="1" x14ac:dyDescent="0.25">
      <c r="A6" s="611" t="s">
        <v>3</v>
      </c>
      <c r="B6" s="612"/>
      <c r="C6" s="612"/>
      <c r="D6" s="612"/>
      <c r="E6" s="612"/>
      <c r="F6" s="612"/>
      <c r="G6" s="612"/>
      <c r="H6" s="613"/>
      <c r="I6" s="624" t="s">
        <v>4</v>
      </c>
      <c r="J6" s="625"/>
      <c r="K6" s="625"/>
      <c r="L6" s="625"/>
      <c r="M6" s="625"/>
      <c r="N6" s="625"/>
      <c r="O6" s="625"/>
      <c r="P6" s="625"/>
      <c r="Q6" s="625"/>
      <c r="R6" s="625"/>
      <c r="S6" s="625"/>
      <c r="T6" s="625"/>
      <c r="U6" s="625"/>
      <c r="V6" s="625"/>
      <c r="W6" s="625"/>
      <c r="X6" s="625"/>
      <c r="Y6" s="625"/>
      <c r="Z6" s="625"/>
      <c r="AA6" s="625"/>
      <c r="AB6" s="625"/>
      <c r="AC6" s="625"/>
      <c r="AD6" s="625"/>
      <c r="AE6" s="625"/>
      <c r="AF6" s="625"/>
      <c r="AG6" s="625"/>
      <c r="AH6" s="626"/>
      <c r="AK6" s="9" t="s">
        <v>5</v>
      </c>
    </row>
    <row r="7" spans="1:37" s="1" customFormat="1" ht="15" customHeight="1" x14ac:dyDescent="0.2">
      <c r="A7" s="614" t="s">
        <v>6</v>
      </c>
      <c r="B7" s="616" t="s">
        <v>7</v>
      </c>
      <c r="C7" s="616" t="s">
        <v>8</v>
      </c>
      <c r="D7" s="616" t="s">
        <v>9</v>
      </c>
      <c r="E7" s="616" t="s">
        <v>10</v>
      </c>
      <c r="F7" s="620" t="s">
        <v>11</v>
      </c>
      <c r="G7" s="616" t="s">
        <v>12</v>
      </c>
      <c r="H7" s="618" t="s">
        <v>13</v>
      </c>
      <c r="I7" s="635" t="s">
        <v>782</v>
      </c>
      <c r="J7" s="622" t="s">
        <v>14</v>
      </c>
      <c r="K7" s="616" t="s">
        <v>15</v>
      </c>
      <c r="L7" s="616" t="s">
        <v>16</v>
      </c>
      <c r="M7" s="616" t="s">
        <v>17</v>
      </c>
      <c r="N7" s="616" t="s">
        <v>18</v>
      </c>
      <c r="O7" s="620" t="s">
        <v>19</v>
      </c>
      <c r="P7" s="616" t="s">
        <v>20</v>
      </c>
      <c r="Q7" s="620" t="s">
        <v>21</v>
      </c>
      <c r="R7" s="632" t="s">
        <v>22</v>
      </c>
      <c r="S7" s="630" t="s">
        <v>23</v>
      </c>
      <c r="T7" s="620"/>
      <c r="U7" s="620"/>
      <c r="V7" s="631"/>
      <c r="W7" s="630" t="s">
        <v>24</v>
      </c>
      <c r="X7" s="620"/>
      <c r="Y7" s="620"/>
      <c r="Z7" s="631"/>
      <c r="AA7" s="622" t="s">
        <v>25</v>
      </c>
      <c r="AB7" s="620" t="s">
        <v>26</v>
      </c>
      <c r="AC7" s="616" t="s">
        <v>27</v>
      </c>
      <c r="AD7" s="620" t="s">
        <v>21</v>
      </c>
      <c r="AE7" s="620" t="s">
        <v>28</v>
      </c>
      <c r="AF7" s="620" t="s">
        <v>29</v>
      </c>
      <c r="AG7" s="616" t="s">
        <v>30</v>
      </c>
      <c r="AH7" s="618" t="s">
        <v>31</v>
      </c>
      <c r="AK7" s="9" t="s">
        <v>32</v>
      </c>
    </row>
    <row r="8" spans="1:37" s="1" customFormat="1" ht="15.75" customHeight="1" thickBot="1" x14ac:dyDescent="0.25">
      <c r="A8" s="615"/>
      <c r="B8" s="617"/>
      <c r="C8" s="617"/>
      <c r="D8" s="617"/>
      <c r="E8" s="617"/>
      <c r="F8" s="621"/>
      <c r="G8" s="617"/>
      <c r="H8" s="619"/>
      <c r="I8" s="636"/>
      <c r="J8" s="623"/>
      <c r="K8" s="617"/>
      <c r="L8" s="617"/>
      <c r="M8" s="621"/>
      <c r="N8" s="617"/>
      <c r="O8" s="621"/>
      <c r="P8" s="617"/>
      <c r="Q8" s="621"/>
      <c r="R8" s="633"/>
      <c r="S8" s="375">
        <v>2021</v>
      </c>
      <c r="T8" s="374">
        <v>2022</v>
      </c>
      <c r="U8" s="374">
        <v>2023</v>
      </c>
      <c r="V8" s="376">
        <v>2024</v>
      </c>
      <c r="W8" s="375">
        <v>2021</v>
      </c>
      <c r="X8" s="374">
        <v>2022</v>
      </c>
      <c r="Y8" s="374">
        <v>2023</v>
      </c>
      <c r="Z8" s="376">
        <v>2024</v>
      </c>
      <c r="AA8" s="623"/>
      <c r="AB8" s="621"/>
      <c r="AC8" s="617"/>
      <c r="AD8" s="621"/>
      <c r="AE8" s="621"/>
      <c r="AF8" s="621"/>
      <c r="AG8" s="617"/>
      <c r="AH8" s="619"/>
      <c r="AK8" s="9" t="s">
        <v>33</v>
      </c>
    </row>
    <row r="9" spans="1:37" s="297" customFormat="1" ht="97.5" customHeight="1" x14ac:dyDescent="0.2">
      <c r="A9" s="637" t="s">
        <v>867</v>
      </c>
      <c r="B9" s="629" t="s">
        <v>46</v>
      </c>
      <c r="C9" s="629" t="s">
        <v>47</v>
      </c>
      <c r="D9" s="629" t="s">
        <v>1378</v>
      </c>
      <c r="E9" s="629" t="s">
        <v>783</v>
      </c>
      <c r="F9" s="629" t="s">
        <v>49</v>
      </c>
      <c r="G9" s="629" t="s">
        <v>36</v>
      </c>
      <c r="H9" s="634" t="s">
        <v>5</v>
      </c>
      <c r="I9" s="584" t="s">
        <v>784</v>
      </c>
      <c r="J9" s="585" t="s">
        <v>50</v>
      </c>
      <c r="K9" s="586" t="s">
        <v>51</v>
      </c>
      <c r="L9" s="586" t="s">
        <v>1379</v>
      </c>
      <c r="M9" s="586" t="s">
        <v>52</v>
      </c>
      <c r="N9" s="586" t="s">
        <v>5</v>
      </c>
      <c r="O9" s="586" t="s">
        <v>53</v>
      </c>
      <c r="P9" s="587" t="s">
        <v>1380</v>
      </c>
      <c r="Q9" s="588" t="s">
        <v>38</v>
      </c>
      <c r="R9" s="589">
        <v>1</v>
      </c>
      <c r="S9" s="590">
        <v>2</v>
      </c>
      <c r="T9" s="588">
        <v>2</v>
      </c>
      <c r="U9" s="588">
        <v>3</v>
      </c>
      <c r="V9" s="591">
        <v>3</v>
      </c>
      <c r="W9" s="592" t="s">
        <v>40</v>
      </c>
      <c r="X9" s="593" t="s">
        <v>40</v>
      </c>
      <c r="Y9" s="593" t="s">
        <v>40</v>
      </c>
      <c r="Z9" s="594" t="s">
        <v>40</v>
      </c>
      <c r="AA9" s="575" t="s">
        <v>54</v>
      </c>
      <c r="AB9" s="576" t="s">
        <v>41</v>
      </c>
      <c r="AC9" s="576" t="s">
        <v>32</v>
      </c>
      <c r="AD9" s="576" t="s">
        <v>42</v>
      </c>
      <c r="AE9" s="576" t="s">
        <v>43</v>
      </c>
      <c r="AF9" s="576" t="s">
        <v>39</v>
      </c>
      <c r="AG9" s="576" t="s">
        <v>1385</v>
      </c>
      <c r="AH9" s="577" t="s">
        <v>1399</v>
      </c>
    </row>
    <row r="10" spans="1:37" ht="210" customHeight="1" x14ac:dyDescent="0.2">
      <c r="A10" s="638"/>
      <c r="B10" s="597"/>
      <c r="C10" s="597"/>
      <c r="D10" s="597"/>
      <c r="E10" s="597"/>
      <c r="F10" s="597"/>
      <c r="G10" s="597"/>
      <c r="H10" s="605"/>
      <c r="I10" s="355" t="s">
        <v>785</v>
      </c>
      <c r="J10" s="360" t="s">
        <v>554</v>
      </c>
      <c r="K10" s="361" t="s">
        <v>555</v>
      </c>
      <c r="L10" s="362" t="s">
        <v>55</v>
      </c>
      <c r="M10" s="560" t="s">
        <v>1152</v>
      </c>
      <c r="N10" s="560" t="s">
        <v>5</v>
      </c>
      <c r="O10" s="539" t="s">
        <v>56</v>
      </c>
      <c r="P10" s="539" t="s">
        <v>1286</v>
      </c>
      <c r="Q10" s="19" t="s">
        <v>57</v>
      </c>
      <c r="R10" s="20" t="s">
        <v>39</v>
      </c>
      <c r="S10" s="21">
        <v>0.91</v>
      </c>
      <c r="T10" s="22">
        <v>0.91</v>
      </c>
      <c r="U10" s="22">
        <v>0.91</v>
      </c>
      <c r="V10" s="23">
        <v>0.91</v>
      </c>
      <c r="W10" s="24">
        <v>26840770</v>
      </c>
      <c r="X10" s="25">
        <f>+W10*(1+3%)</f>
        <v>27645993.100000001</v>
      </c>
      <c r="Y10" s="25">
        <f>+X10*(1+3%)</f>
        <v>28475372.893000003</v>
      </c>
      <c r="Z10" s="385">
        <f>+Y10*(1+3%)</f>
        <v>29329634.079790004</v>
      </c>
      <c r="AA10" s="381" t="s">
        <v>58</v>
      </c>
      <c r="AB10" s="549" t="s">
        <v>41</v>
      </c>
      <c r="AC10" s="549" t="s">
        <v>32</v>
      </c>
      <c r="AD10" s="549" t="s">
        <v>42</v>
      </c>
      <c r="AE10" s="552" t="s">
        <v>43</v>
      </c>
      <c r="AF10" s="556" t="s">
        <v>39</v>
      </c>
      <c r="AG10" s="555" t="s">
        <v>1389</v>
      </c>
      <c r="AH10" s="26" t="s">
        <v>1390</v>
      </c>
    </row>
    <row r="11" spans="1:37" ht="132.75" customHeight="1" x14ac:dyDescent="0.2">
      <c r="A11" s="596" t="s">
        <v>61</v>
      </c>
      <c r="B11" s="597" t="s">
        <v>62</v>
      </c>
      <c r="C11" s="597" t="s">
        <v>63</v>
      </c>
      <c r="D11" s="597" t="s">
        <v>1378</v>
      </c>
      <c r="E11" s="597" t="s">
        <v>786</v>
      </c>
      <c r="F11" s="549" t="s">
        <v>65</v>
      </c>
      <c r="G11" s="549" t="s">
        <v>66</v>
      </c>
      <c r="H11" s="551" t="s">
        <v>32</v>
      </c>
      <c r="I11" s="355" t="s">
        <v>787</v>
      </c>
      <c r="J11" s="528" t="s">
        <v>67</v>
      </c>
      <c r="K11" s="565" t="s">
        <v>556</v>
      </c>
      <c r="L11" s="565" t="s">
        <v>68</v>
      </c>
      <c r="M11" s="565" t="s">
        <v>69</v>
      </c>
      <c r="N11" s="565" t="s">
        <v>32</v>
      </c>
      <c r="O11" s="565" t="s">
        <v>1076</v>
      </c>
      <c r="P11" s="565" t="s">
        <v>1287</v>
      </c>
      <c r="Q11" s="307" t="s">
        <v>57</v>
      </c>
      <c r="R11" s="28">
        <v>0.95440000000000003</v>
      </c>
      <c r="S11" s="29">
        <v>0.95</v>
      </c>
      <c r="T11" s="30">
        <v>0.95</v>
      </c>
      <c r="U11" s="30">
        <v>0.95</v>
      </c>
      <c r="V11" s="31">
        <v>0.95</v>
      </c>
      <c r="W11" s="14" t="s">
        <v>40</v>
      </c>
      <c r="X11" s="15" t="s">
        <v>40</v>
      </c>
      <c r="Y11" s="15" t="s">
        <v>40</v>
      </c>
      <c r="Z11" s="386" t="s">
        <v>40</v>
      </c>
      <c r="AA11" s="578" t="s">
        <v>70</v>
      </c>
      <c r="AB11" s="556" t="s">
        <v>71</v>
      </c>
      <c r="AC11" s="549" t="s">
        <v>32</v>
      </c>
      <c r="AD11" s="549" t="s">
        <v>42</v>
      </c>
      <c r="AE11" s="549" t="s">
        <v>72</v>
      </c>
      <c r="AF11" s="549" t="s">
        <v>39</v>
      </c>
      <c r="AG11" s="552" t="s">
        <v>1385</v>
      </c>
      <c r="AH11" s="553" t="s">
        <v>1399</v>
      </c>
    </row>
    <row r="12" spans="1:37" ht="150" customHeight="1" x14ac:dyDescent="0.2">
      <c r="A12" s="596"/>
      <c r="B12" s="597"/>
      <c r="C12" s="597"/>
      <c r="D12" s="597"/>
      <c r="E12" s="597"/>
      <c r="F12" s="549" t="s">
        <v>74</v>
      </c>
      <c r="G12" s="549" t="s">
        <v>75</v>
      </c>
      <c r="H12" s="551" t="s">
        <v>32</v>
      </c>
      <c r="I12" s="355" t="s">
        <v>788</v>
      </c>
      <c r="J12" s="528" t="s">
        <v>76</v>
      </c>
      <c r="K12" s="565" t="s">
        <v>77</v>
      </c>
      <c r="L12" s="565" t="s">
        <v>78</v>
      </c>
      <c r="M12" s="565" t="s">
        <v>79</v>
      </c>
      <c r="N12" s="565" t="s">
        <v>32</v>
      </c>
      <c r="O12" s="565" t="s">
        <v>80</v>
      </c>
      <c r="P12" s="565" t="s">
        <v>81</v>
      </c>
      <c r="Q12" s="307" t="s">
        <v>57</v>
      </c>
      <c r="R12" s="566" t="s">
        <v>39</v>
      </c>
      <c r="S12" s="29">
        <v>0.9</v>
      </c>
      <c r="T12" s="30">
        <v>0.9</v>
      </c>
      <c r="U12" s="30">
        <v>0.9</v>
      </c>
      <c r="V12" s="31">
        <v>0.9</v>
      </c>
      <c r="W12" s="14" t="s">
        <v>40</v>
      </c>
      <c r="X12" s="15" t="s">
        <v>40</v>
      </c>
      <c r="Y12" s="15" t="s">
        <v>40</v>
      </c>
      <c r="Z12" s="386" t="s">
        <v>40</v>
      </c>
      <c r="AA12" s="578" t="s">
        <v>82</v>
      </c>
      <c r="AB12" s="549" t="s">
        <v>41</v>
      </c>
      <c r="AC12" s="549" t="s">
        <v>32</v>
      </c>
      <c r="AD12" s="549" t="s">
        <v>42</v>
      </c>
      <c r="AE12" s="552" t="s">
        <v>43</v>
      </c>
      <c r="AF12" s="549" t="s">
        <v>39</v>
      </c>
      <c r="AG12" s="552" t="s">
        <v>1385</v>
      </c>
      <c r="AH12" s="553" t="s">
        <v>1399</v>
      </c>
    </row>
    <row r="13" spans="1:37" ht="183" customHeight="1" x14ac:dyDescent="0.2">
      <c r="A13" s="596"/>
      <c r="B13" s="597"/>
      <c r="C13" s="597"/>
      <c r="D13" s="597"/>
      <c r="E13" s="597"/>
      <c r="F13" s="549" t="s">
        <v>84</v>
      </c>
      <c r="G13" s="549" t="s">
        <v>85</v>
      </c>
      <c r="H13" s="551" t="s">
        <v>32</v>
      </c>
      <c r="I13" s="355" t="s">
        <v>789</v>
      </c>
      <c r="J13" s="528" t="s">
        <v>1116</v>
      </c>
      <c r="K13" s="565" t="s">
        <v>1077</v>
      </c>
      <c r="L13" s="565" t="s">
        <v>87</v>
      </c>
      <c r="M13" s="565" t="s">
        <v>88</v>
      </c>
      <c r="N13" s="565" t="s">
        <v>32</v>
      </c>
      <c r="O13" s="565" t="s">
        <v>1407</v>
      </c>
      <c r="P13" s="549" t="s">
        <v>962</v>
      </c>
      <c r="Q13" s="307" t="s">
        <v>57</v>
      </c>
      <c r="R13" s="566" t="s">
        <v>39</v>
      </c>
      <c r="S13" s="29">
        <v>1</v>
      </c>
      <c r="T13" s="30">
        <v>1</v>
      </c>
      <c r="U13" s="30">
        <v>1</v>
      </c>
      <c r="V13" s="31">
        <v>1</v>
      </c>
      <c r="W13" s="14" t="s">
        <v>40</v>
      </c>
      <c r="X13" s="15" t="s">
        <v>40</v>
      </c>
      <c r="Y13" s="15" t="s">
        <v>40</v>
      </c>
      <c r="Z13" s="386" t="s">
        <v>40</v>
      </c>
      <c r="AA13" s="578" t="s">
        <v>89</v>
      </c>
      <c r="AB13" s="549" t="s">
        <v>41</v>
      </c>
      <c r="AC13" s="549" t="s">
        <v>32</v>
      </c>
      <c r="AD13" s="549" t="s">
        <v>42</v>
      </c>
      <c r="AE13" s="552" t="s">
        <v>43</v>
      </c>
      <c r="AF13" s="549" t="s">
        <v>39</v>
      </c>
      <c r="AG13" s="552" t="s">
        <v>1385</v>
      </c>
      <c r="AH13" s="553" t="s">
        <v>1401</v>
      </c>
    </row>
    <row r="14" spans="1:37" ht="197.25" customHeight="1" x14ac:dyDescent="0.2">
      <c r="A14" s="548" t="s">
        <v>91</v>
      </c>
      <c r="B14" s="549" t="s">
        <v>92</v>
      </c>
      <c r="C14" s="549" t="s">
        <v>93</v>
      </c>
      <c r="D14" s="549" t="s">
        <v>1373</v>
      </c>
      <c r="E14" s="549" t="s">
        <v>790</v>
      </c>
      <c r="F14" s="549" t="s">
        <v>96</v>
      </c>
      <c r="G14" s="549" t="s">
        <v>97</v>
      </c>
      <c r="H14" s="551" t="s">
        <v>33</v>
      </c>
      <c r="I14" s="355" t="s">
        <v>791</v>
      </c>
      <c r="J14" s="528" t="s">
        <v>98</v>
      </c>
      <c r="K14" s="565" t="s">
        <v>99</v>
      </c>
      <c r="L14" s="565" t="s">
        <v>100</v>
      </c>
      <c r="M14" s="565" t="s">
        <v>101</v>
      </c>
      <c r="N14" s="565" t="s">
        <v>32</v>
      </c>
      <c r="O14" s="565" t="s">
        <v>102</v>
      </c>
      <c r="P14" s="565" t="s">
        <v>103</v>
      </c>
      <c r="Q14" s="307" t="s">
        <v>57</v>
      </c>
      <c r="R14" s="566" t="s">
        <v>39</v>
      </c>
      <c r="S14" s="29">
        <v>1</v>
      </c>
      <c r="T14" s="30">
        <v>1</v>
      </c>
      <c r="U14" s="30">
        <v>1</v>
      </c>
      <c r="V14" s="31">
        <v>1</v>
      </c>
      <c r="W14" s="14" t="s">
        <v>40</v>
      </c>
      <c r="X14" s="15" t="s">
        <v>40</v>
      </c>
      <c r="Y14" s="15" t="s">
        <v>40</v>
      </c>
      <c r="Z14" s="386" t="s">
        <v>40</v>
      </c>
      <c r="AA14" s="578" t="s">
        <v>934</v>
      </c>
      <c r="AB14" s="549" t="s">
        <v>41</v>
      </c>
      <c r="AC14" s="549" t="s">
        <v>32</v>
      </c>
      <c r="AD14" s="549" t="s">
        <v>42</v>
      </c>
      <c r="AE14" s="552" t="s">
        <v>43</v>
      </c>
      <c r="AF14" s="549" t="s">
        <v>39</v>
      </c>
      <c r="AG14" s="552" t="s">
        <v>1385</v>
      </c>
      <c r="AH14" s="553" t="s">
        <v>1399</v>
      </c>
    </row>
    <row r="15" spans="1:37" ht="104.25" customHeight="1" x14ac:dyDescent="0.2">
      <c r="A15" s="596" t="s">
        <v>105</v>
      </c>
      <c r="B15" s="597" t="s">
        <v>106</v>
      </c>
      <c r="C15" s="597" t="s">
        <v>107</v>
      </c>
      <c r="D15" s="597" t="s">
        <v>1374</v>
      </c>
      <c r="E15" s="597" t="s">
        <v>792</v>
      </c>
      <c r="F15" s="547" t="s">
        <v>110</v>
      </c>
      <c r="G15" s="547" t="s">
        <v>111</v>
      </c>
      <c r="H15" s="551" t="s">
        <v>33</v>
      </c>
      <c r="I15" s="355" t="s">
        <v>793</v>
      </c>
      <c r="J15" s="528" t="s">
        <v>112</v>
      </c>
      <c r="K15" s="565" t="s">
        <v>113</v>
      </c>
      <c r="L15" s="565" t="s">
        <v>114</v>
      </c>
      <c r="M15" s="560" t="s">
        <v>115</v>
      </c>
      <c r="N15" s="565" t="s">
        <v>32</v>
      </c>
      <c r="O15" s="565" t="s">
        <v>116</v>
      </c>
      <c r="P15" s="560" t="s">
        <v>117</v>
      </c>
      <c r="Q15" s="307" t="s">
        <v>38</v>
      </c>
      <c r="R15" s="566">
        <v>1</v>
      </c>
      <c r="S15" s="12">
        <v>2</v>
      </c>
      <c r="T15" s="307">
        <v>2</v>
      </c>
      <c r="U15" s="307">
        <v>2</v>
      </c>
      <c r="V15" s="13">
        <v>2</v>
      </c>
      <c r="W15" s="563">
        <v>84865200</v>
      </c>
      <c r="X15" s="570">
        <f>X16</f>
        <v>113506000</v>
      </c>
      <c r="Y15" s="570">
        <f t="shared" ref="Y15:Z20" si="0">X15*1.03</f>
        <v>116911180</v>
      </c>
      <c r="Z15" s="568">
        <f t="shared" si="0"/>
        <v>120418515.40000001</v>
      </c>
      <c r="AA15" s="578" t="s">
        <v>118</v>
      </c>
      <c r="AB15" s="549" t="s">
        <v>41</v>
      </c>
      <c r="AC15" s="549" t="s">
        <v>32</v>
      </c>
      <c r="AD15" s="549" t="s">
        <v>42</v>
      </c>
      <c r="AE15" s="549" t="s">
        <v>43</v>
      </c>
      <c r="AF15" s="549" t="s">
        <v>119</v>
      </c>
      <c r="AG15" s="402" t="s">
        <v>1394</v>
      </c>
      <c r="AH15" s="551" t="s">
        <v>1395</v>
      </c>
    </row>
    <row r="16" spans="1:37" ht="182.25" customHeight="1" x14ac:dyDescent="0.2">
      <c r="A16" s="596"/>
      <c r="B16" s="597"/>
      <c r="C16" s="597"/>
      <c r="D16" s="597"/>
      <c r="E16" s="597"/>
      <c r="F16" s="547" t="s">
        <v>122</v>
      </c>
      <c r="G16" s="547" t="s">
        <v>123</v>
      </c>
      <c r="H16" s="551" t="s">
        <v>33</v>
      </c>
      <c r="I16" s="355" t="s">
        <v>794</v>
      </c>
      <c r="J16" s="528" t="s">
        <v>124</v>
      </c>
      <c r="K16" s="565" t="s">
        <v>125</v>
      </c>
      <c r="L16" s="565" t="s">
        <v>126</v>
      </c>
      <c r="M16" s="565" t="s">
        <v>127</v>
      </c>
      <c r="N16" s="565" t="s">
        <v>5</v>
      </c>
      <c r="O16" s="565" t="s">
        <v>128</v>
      </c>
      <c r="P16" s="565" t="s">
        <v>129</v>
      </c>
      <c r="Q16" s="307" t="s">
        <v>38</v>
      </c>
      <c r="R16" s="566" t="s">
        <v>39</v>
      </c>
      <c r="S16" s="12">
        <v>300</v>
      </c>
      <c r="T16" s="307">
        <v>320</v>
      </c>
      <c r="U16" s="307">
        <v>340</v>
      </c>
      <c r="V16" s="13">
        <v>360</v>
      </c>
      <c r="W16" s="563">
        <v>110200000</v>
      </c>
      <c r="X16" s="570">
        <f>W16*1.03</f>
        <v>113506000</v>
      </c>
      <c r="Y16" s="570">
        <f t="shared" si="0"/>
        <v>116911180</v>
      </c>
      <c r="Z16" s="568">
        <f t="shared" si="0"/>
        <v>120418515.40000001</v>
      </c>
      <c r="AA16" s="578" t="s">
        <v>130</v>
      </c>
      <c r="AB16" s="549" t="s">
        <v>41</v>
      </c>
      <c r="AC16" s="549" t="s">
        <v>32</v>
      </c>
      <c r="AD16" s="549" t="s">
        <v>42</v>
      </c>
      <c r="AE16" s="549" t="s">
        <v>43</v>
      </c>
      <c r="AF16" s="549" t="s">
        <v>119</v>
      </c>
      <c r="AG16" s="402" t="s">
        <v>1394</v>
      </c>
      <c r="AH16" s="551" t="s">
        <v>1395</v>
      </c>
    </row>
    <row r="17" spans="1:34" ht="115.5" customHeight="1" x14ac:dyDescent="0.2">
      <c r="A17" s="596" t="s">
        <v>105</v>
      </c>
      <c r="B17" s="597" t="s">
        <v>106</v>
      </c>
      <c r="C17" s="597" t="s">
        <v>131</v>
      </c>
      <c r="D17" s="597" t="s">
        <v>1378</v>
      </c>
      <c r="E17" s="595" t="s">
        <v>795</v>
      </c>
      <c r="F17" s="547" t="s">
        <v>133</v>
      </c>
      <c r="G17" s="547" t="s">
        <v>134</v>
      </c>
      <c r="H17" s="558" t="s">
        <v>32</v>
      </c>
      <c r="I17" s="351" t="s">
        <v>811</v>
      </c>
      <c r="J17" s="559" t="s">
        <v>135</v>
      </c>
      <c r="K17" s="560" t="s">
        <v>1079</v>
      </c>
      <c r="L17" s="565" t="s">
        <v>136</v>
      </c>
      <c r="M17" s="560" t="s">
        <v>1078</v>
      </c>
      <c r="N17" s="565" t="s">
        <v>5</v>
      </c>
      <c r="O17" s="565" t="s">
        <v>137</v>
      </c>
      <c r="P17" s="565" t="s">
        <v>1080</v>
      </c>
      <c r="Q17" s="307" t="s">
        <v>38</v>
      </c>
      <c r="R17" s="566" t="s">
        <v>39</v>
      </c>
      <c r="S17" s="12">
        <v>2</v>
      </c>
      <c r="T17" s="307">
        <v>1</v>
      </c>
      <c r="U17" s="307">
        <v>1</v>
      </c>
      <c r="V17" s="13">
        <v>1</v>
      </c>
      <c r="W17" s="562">
        <v>84900000</v>
      </c>
      <c r="X17" s="570">
        <f>W17*1.03</f>
        <v>87447000</v>
      </c>
      <c r="Y17" s="570">
        <f t="shared" si="0"/>
        <v>90070410</v>
      </c>
      <c r="Z17" s="568">
        <f t="shared" si="0"/>
        <v>92772522.299999997</v>
      </c>
      <c r="AA17" s="578" t="s">
        <v>138</v>
      </c>
      <c r="AB17" s="549" t="s">
        <v>41</v>
      </c>
      <c r="AC17" s="549" t="s">
        <v>32</v>
      </c>
      <c r="AD17" s="549" t="s">
        <v>42</v>
      </c>
      <c r="AE17" s="549" t="s">
        <v>43</v>
      </c>
      <c r="AF17" s="549" t="s">
        <v>119</v>
      </c>
      <c r="AG17" s="402" t="s">
        <v>1394</v>
      </c>
      <c r="AH17" s="551" t="s">
        <v>1395</v>
      </c>
    </row>
    <row r="18" spans="1:34" ht="91.5" customHeight="1" x14ac:dyDescent="0.2">
      <c r="A18" s="596"/>
      <c r="B18" s="597"/>
      <c r="C18" s="597"/>
      <c r="D18" s="597"/>
      <c r="E18" s="595"/>
      <c r="F18" s="595" t="s">
        <v>140</v>
      </c>
      <c r="G18" s="595" t="s">
        <v>141</v>
      </c>
      <c r="H18" s="605" t="s">
        <v>5</v>
      </c>
      <c r="I18" s="355" t="s">
        <v>812</v>
      </c>
      <c r="J18" s="528" t="s">
        <v>142</v>
      </c>
      <c r="K18" s="565" t="s">
        <v>143</v>
      </c>
      <c r="L18" s="565" t="s">
        <v>136</v>
      </c>
      <c r="M18" s="565" t="s">
        <v>1082</v>
      </c>
      <c r="N18" s="565" t="s">
        <v>5</v>
      </c>
      <c r="O18" s="565" t="s">
        <v>1081</v>
      </c>
      <c r="P18" s="565" t="s">
        <v>1117</v>
      </c>
      <c r="Q18" s="307" t="s">
        <v>57</v>
      </c>
      <c r="R18" s="566" t="s">
        <v>39</v>
      </c>
      <c r="S18" s="29">
        <v>1</v>
      </c>
      <c r="T18" s="30">
        <v>1</v>
      </c>
      <c r="U18" s="30">
        <v>1</v>
      </c>
      <c r="V18" s="31">
        <v>1</v>
      </c>
      <c r="W18" s="563">
        <v>11000000</v>
      </c>
      <c r="X18" s="570">
        <f>W18*1.03</f>
        <v>11330000</v>
      </c>
      <c r="Y18" s="570">
        <f t="shared" si="0"/>
        <v>11669900</v>
      </c>
      <c r="Z18" s="568">
        <f t="shared" si="0"/>
        <v>12019997</v>
      </c>
      <c r="AA18" s="578" t="s">
        <v>144</v>
      </c>
      <c r="AB18" s="549" t="s">
        <v>145</v>
      </c>
      <c r="AC18" s="549" t="s">
        <v>32</v>
      </c>
      <c r="AD18" s="549" t="s">
        <v>42</v>
      </c>
      <c r="AE18" s="549" t="s">
        <v>43</v>
      </c>
      <c r="AF18" s="549" t="s">
        <v>119</v>
      </c>
      <c r="AG18" s="402" t="s">
        <v>1394</v>
      </c>
      <c r="AH18" s="551" t="s">
        <v>1395</v>
      </c>
    </row>
    <row r="19" spans="1:34" ht="84.75" customHeight="1" x14ac:dyDescent="0.2">
      <c r="A19" s="596"/>
      <c r="B19" s="597"/>
      <c r="C19" s="597"/>
      <c r="D19" s="597"/>
      <c r="E19" s="595"/>
      <c r="F19" s="595"/>
      <c r="G19" s="595"/>
      <c r="H19" s="605"/>
      <c r="I19" s="355" t="s">
        <v>813</v>
      </c>
      <c r="J19" s="528" t="s">
        <v>146</v>
      </c>
      <c r="K19" s="565" t="s">
        <v>147</v>
      </c>
      <c r="L19" s="565" t="s">
        <v>136</v>
      </c>
      <c r="M19" s="565" t="s">
        <v>1084</v>
      </c>
      <c r="N19" s="565" t="s">
        <v>5</v>
      </c>
      <c r="O19" s="565" t="s">
        <v>148</v>
      </c>
      <c r="P19" s="565" t="s">
        <v>1120</v>
      </c>
      <c r="Q19" s="307" t="s">
        <v>57</v>
      </c>
      <c r="R19" s="566" t="s">
        <v>39</v>
      </c>
      <c r="S19" s="29">
        <v>1</v>
      </c>
      <c r="T19" s="30">
        <v>1</v>
      </c>
      <c r="U19" s="30">
        <v>1</v>
      </c>
      <c r="V19" s="31">
        <v>1</v>
      </c>
      <c r="W19" s="563">
        <v>5000000</v>
      </c>
      <c r="X19" s="570">
        <f>W19*1.03</f>
        <v>5150000</v>
      </c>
      <c r="Y19" s="570">
        <f t="shared" si="0"/>
        <v>5304500</v>
      </c>
      <c r="Z19" s="568">
        <f t="shared" si="0"/>
        <v>5463635</v>
      </c>
      <c r="AA19" s="578" t="s">
        <v>149</v>
      </c>
      <c r="AB19" s="549" t="s">
        <v>145</v>
      </c>
      <c r="AC19" s="549" t="s">
        <v>32</v>
      </c>
      <c r="AD19" s="549" t="s">
        <v>42</v>
      </c>
      <c r="AE19" s="549" t="s">
        <v>43</v>
      </c>
      <c r="AF19" s="549" t="s">
        <v>119</v>
      </c>
      <c r="AG19" s="402" t="s">
        <v>1394</v>
      </c>
      <c r="AH19" s="551" t="s">
        <v>1395</v>
      </c>
    </row>
    <row r="20" spans="1:34" ht="84.75" customHeight="1" x14ac:dyDescent="0.2">
      <c r="A20" s="596"/>
      <c r="B20" s="597"/>
      <c r="C20" s="597"/>
      <c r="D20" s="597"/>
      <c r="E20" s="595"/>
      <c r="F20" s="595"/>
      <c r="G20" s="595"/>
      <c r="H20" s="605"/>
      <c r="I20" s="355" t="s">
        <v>814</v>
      </c>
      <c r="J20" s="528" t="s">
        <v>150</v>
      </c>
      <c r="K20" s="565" t="s">
        <v>151</v>
      </c>
      <c r="L20" s="565" t="s">
        <v>136</v>
      </c>
      <c r="M20" s="565" t="s">
        <v>1083</v>
      </c>
      <c r="N20" s="565" t="s">
        <v>5</v>
      </c>
      <c r="O20" s="565" t="s">
        <v>152</v>
      </c>
      <c r="P20" s="565" t="s">
        <v>1123</v>
      </c>
      <c r="Q20" s="307" t="s">
        <v>57</v>
      </c>
      <c r="R20" s="566" t="s">
        <v>39</v>
      </c>
      <c r="S20" s="29">
        <v>1</v>
      </c>
      <c r="T20" s="574">
        <v>1</v>
      </c>
      <c r="U20" s="574">
        <v>1</v>
      </c>
      <c r="V20" s="45">
        <v>1</v>
      </c>
      <c r="W20" s="562">
        <v>10000000</v>
      </c>
      <c r="X20" s="569">
        <f>W20*1.03</f>
        <v>10300000</v>
      </c>
      <c r="Y20" s="569">
        <f t="shared" si="0"/>
        <v>10609000</v>
      </c>
      <c r="Z20" s="567">
        <f t="shared" si="0"/>
        <v>10927270</v>
      </c>
      <c r="AA20" s="578" t="s">
        <v>153</v>
      </c>
      <c r="AB20" s="549" t="s">
        <v>145</v>
      </c>
      <c r="AC20" s="549" t="s">
        <v>32</v>
      </c>
      <c r="AD20" s="549" t="s">
        <v>42</v>
      </c>
      <c r="AE20" s="549" t="s">
        <v>43</v>
      </c>
      <c r="AF20" s="549" t="s">
        <v>119</v>
      </c>
      <c r="AG20" s="402" t="s">
        <v>1394</v>
      </c>
      <c r="AH20" s="551" t="s">
        <v>1395</v>
      </c>
    </row>
    <row r="21" spans="1:34" ht="197.25" customHeight="1" x14ac:dyDescent="0.2">
      <c r="A21" s="598" t="s">
        <v>154</v>
      </c>
      <c r="B21" s="600" t="s">
        <v>92</v>
      </c>
      <c r="C21" s="600" t="s">
        <v>93</v>
      </c>
      <c r="D21" s="602" t="s">
        <v>1374</v>
      </c>
      <c r="E21" s="602" t="s">
        <v>796</v>
      </c>
      <c r="F21" s="602" t="s">
        <v>156</v>
      </c>
      <c r="G21" s="602" t="s">
        <v>157</v>
      </c>
      <c r="H21" s="603" t="s">
        <v>33</v>
      </c>
      <c r="I21" s="403" t="s">
        <v>815</v>
      </c>
      <c r="J21" s="598" t="s">
        <v>158</v>
      </c>
      <c r="K21" s="602" t="s">
        <v>1196</v>
      </c>
      <c r="L21" s="602" t="s">
        <v>159</v>
      </c>
      <c r="M21" s="602" t="s">
        <v>680</v>
      </c>
      <c r="N21" s="602" t="s">
        <v>32</v>
      </c>
      <c r="O21" s="602" t="s">
        <v>1426</v>
      </c>
      <c r="P21" s="668" t="s">
        <v>847</v>
      </c>
      <c r="Q21" s="653" t="s">
        <v>57</v>
      </c>
      <c r="R21" s="36">
        <v>0.2</v>
      </c>
      <c r="S21" s="37" t="s">
        <v>1427</v>
      </c>
      <c r="T21" s="38">
        <v>0.25</v>
      </c>
      <c r="U21" s="38">
        <v>0.3</v>
      </c>
      <c r="V21" s="39">
        <v>0.3</v>
      </c>
      <c r="W21" s="40">
        <v>2600000000</v>
      </c>
      <c r="X21" s="41">
        <v>2600000000</v>
      </c>
      <c r="Y21" s="41">
        <v>3000000000</v>
      </c>
      <c r="Z21" s="387">
        <v>3000000000</v>
      </c>
      <c r="AA21" s="382" t="s">
        <v>848</v>
      </c>
      <c r="AB21" s="549" t="s">
        <v>160</v>
      </c>
      <c r="AC21" s="549" t="s">
        <v>32</v>
      </c>
      <c r="AD21" s="549" t="s">
        <v>42</v>
      </c>
      <c r="AE21" s="552" t="s">
        <v>43</v>
      </c>
      <c r="AF21" s="547" t="s">
        <v>1435</v>
      </c>
      <c r="AG21" s="547" t="s">
        <v>1386</v>
      </c>
      <c r="AH21" s="558" t="s">
        <v>1388</v>
      </c>
    </row>
    <row r="22" spans="1:34" ht="209.25" customHeight="1" x14ac:dyDescent="0.2">
      <c r="A22" s="599"/>
      <c r="B22" s="601"/>
      <c r="C22" s="601"/>
      <c r="D22" s="601"/>
      <c r="E22" s="601"/>
      <c r="F22" s="601"/>
      <c r="G22" s="601"/>
      <c r="H22" s="604"/>
      <c r="I22" s="403" t="s">
        <v>974</v>
      </c>
      <c r="J22" s="599"/>
      <c r="K22" s="601"/>
      <c r="L22" s="601"/>
      <c r="M22" s="601"/>
      <c r="N22" s="601"/>
      <c r="O22" s="667"/>
      <c r="P22" s="601"/>
      <c r="Q22" s="669"/>
      <c r="R22" s="36" t="s">
        <v>975</v>
      </c>
      <c r="S22" s="37" t="s">
        <v>944</v>
      </c>
      <c r="T22" s="38" t="s">
        <v>944</v>
      </c>
      <c r="U22" s="38" t="s">
        <v>944</v>
      </c>
      <c r="V22" s="39" t="s">
        <v>944</v>
      </c>
      <c r="W22" s="40">
        <v>0</v>
      </c>
      <c r="X22" s="41">
        <v>0</v>
      </c>
      <c r="Y22" s="41">
        <v>0</v>
      </c>
      <c r="Z22" s="387">
        <v>0</v>
      </c>
      <c r="AA22" s="382" t="s">
        <v>976</v>
      </c>
      <c r="AB22" s="549" t="s">
        <v>977</v>
      </c>
      <c r="AC22" s="549" t="s">
        <v>32</v>
      </c>
      <c r="AD22" s="549" t="s">
        <v>42</v>
      </c>
      <c r="AE22" s="552" t="s">
        <v>43</v>
      </c>
      <c r="AF22" s="547" t="s">
        <v>946</v>
      </c>
      <c r="AG22" s="547" t="s">
        <v>1386</v>
      </c>
      <c r="AH22" s="558" t="s">
        <v>1387</v>
      </c>
    </row>
    <row r="23" spans="1:34" ht="253.5" customHeight="1" x14ac:dyDescent="0.2">
      <c r="A23" s="441" t="s">
        <v>154</v>
      </c>
      <c r="B23" s="557" t="s">
        <v>92</v>
      </c>
      <c r="C23" s="557" t="s">
        <v>681</v>
      </c>
      <c r="D23" s="550" t="s">
        <v>1373</v>
      </c>
      <c r="E23" s="443" t="s">
        <v>797</v>
      </c>
      <c r="F23" s="443" t="s">
        <v>1197</v>
      </c>
      <c r="G23" s="443" t="s">
        <v>164</v>
      </c>
      <c r="H23" s="442" t="s">
        <v>33</v>
      </c>
      <c r="I23" s="351" t="s">
        <v>816</v>
      </c>
      <c r="J23" s="559" t="s">
        <v>165</v>
      </c>
      <c r="K23" s="560" t="s">
        <v>166</v>
      </c>
      <c r="L23" s="560" t="s">
        <v>167</v>
      </c>
      <c r="M23" s="560" t="s">
        <v>1430</v>
      </c>
      <c r="N23" s="560" t="s">
        <v>32</v>
      </c>
      <c r="O23" s="560" t="s">
        <v>1431</v>
      </c>
      <c r="P23" s="560" t="s">
        <v>1409</v>
      </c>
      <c r="Q23" s="564" t="s">
        <v>57</v>
      </c>
      <c r="R23" s="36">
        <v>1</v>
      </c>
      <c r="S23" s="37">
        <v>1</v>
      </c>
      <c r="T23" s="38">
        <v>1</v>
      </c>
      <c r="U23" s="38">
        <v>1</v>
      </c>
      <c r="V23" s="39">
        <v>1</v>
      </c>
      <c r="W23" s="40">
        <v>500000000</v>
      </c>
      <c r="X23" s="41">
        <v>515000000</v>
      </c>
      <c r="Y23" s="41">
        <v>530000000</v>
      </c>
      <c r="Z23" s="387">
        <v>545000000</v>
      </c>
      <c r="AA23" s="382" t="s">
        <v>168</v>
      </c>
      <c r="AB23" s="547" t="s">
        <v>160</v>
      </c>
      <c r="AC23" s="549" t="s">
        <v>32</v>
      </c>
      <c r="AD23" s="549" t="s">
        <v>42</v>
      </c>
      <c r="AE23" s="552" t="s">
        <v>43</v>
      </c>
      <c r="AF23" s="547" t="s">
        <v>39</v>
      </c>
      <c r="AG23" s="547" t="s">
        <v>1386</v>
      </c>
      <c r="AH23" s="558" t="s">
        <v>1388</v>
      </c>
    </row>
    <row r="24" spans="1:34" ht="119.25" customHeight="1" x14ac:dyDescent="0.2">
      <c r="A24" s="596" t="s">
        <v>154</v>
      </c>
      <c r="B24" s="597" t="s">
        <v>92</v>
      </c>
      <c r="C24" s="597" t="s">
        <v>93</v>
      </c>
      <c r="D24" s="597" t="s">
        <v>1377</v>
      </c>
      <c r="E24" s="597" t="s">
        <v>799</v>
      </c>
      <c r="F24" s="597" t="s">
        <v>172</v>
      </c>
      <c r="G24" s="547" t="s">
        <v>173</v>
      </c>
      <c r="H24" s="558" t="s">
        <v>33</v>
      </c>
      <c r="I24" s="351" t="s">
        <v>817</v>
      </c>
      <c r="J24" s="528" t="s">
        <v>174</v>
      </c>
      <c r="K24" s="565" t="s">
        <v>175</v>
      </c>
      <c r="L24" s="565" t="s">
        <v>176</v>
      </c>
      <c r="M24" s="565" t="s">
        <v>177</v>
      </c>
      <c r="N24" s="560" t="s">
        <v>32</v>
      </c>
      <c r="O24" s="560" t="s">
        <v>1408</v>
      </c>
      <c r="P24" s="565" t="s">
        <v>1087</v>
      </c>
      <c r="Q24" s="564" t="s">
        <v>57</v>
      </c>
      <c r="R24" s="77" t="s">
        <v>39</v>
      </c>
      <c r="S24" s="37">
        <v>1</v>
      </c>
      <c r="T24" s="38">
        <v>1</v>
      </c>
      <c r="U24" s="38">
        <v>1</v>
      </c>
      <c r="V24" s="39">
        <v>1</v>
      </c>
      <c r="W24" s="42">
        <v>0</v>
      </c>
      <c r="X24" s="43">
        <v>0</v>
      </c>
      <c r="Y24" s="43">
        <v>0</v>
      </c>
      <c r="Z24" s="388">
        <v>0</v>
      </c>
      <c r="AA24" s="382" t="s">
        <v>851</v>
      </c>
      <c r="AB24" s="547" t="s">
        <v>160</v>
      </c>
      <c r="AC24" s="549" t="s">
        <v>32</v>
      </c>
      <c r="AD24" s="549" t="s">
        <v>42</v>
      </c>
      <c r="AE24" s="552" t="s">
        <v>43</v>
      </c>
      <c r="AF24" s="547" t="s">
        <v>39</v>
      </c>
      <c r="AG24" s="547" t="s">
        <v>1381</v>
      </c>
      <c r="AH24" s="558" t="s">
        <v>178</v>
      </c>
    </row>
    <row r="25" spans="1:34" ht="138" customHeight="1" x14ac:dyDescent="0.2">
      <c r="A25" s="596"/>
      <c r="B25" s="597"/>
      <c r="C25" s="597"/>
      <c r="D25" s="597"/>
      <c r="E25" s="597"/>
      <c r="F25" s="597"/>
      <c r="G25" s="547" t="s">
        <v>1198</v>
      </c>
      <c r="H25" s="558" t="s">
        <v>33</v>
      </c>
      <c r="I25" s="351" t="s">
        <v>818</v>
      </c>
      <c r="J25" s="528" t="s">
        <v>1126</v>
      </c>
      <c r="K25" s="565" t="s">
        <v>1127</v>
      </c>
      <c r="L25" s="565" t="s">
        <v>1128</v>
      </c>
      <c r="M25" s="565" t="s">
        <v>1129</v>
      </c>
      <c r="N25" s="560" t="s">
        <v>32</v>
      </c>
      <c r="O25" s="565" t="s">
        <v>1130</v>
      </c>
      <c r="P25" s="565" t="s">
        <v>1131</v>
      </c>
      <c r="Q25" s="307" t="s">
        <v>57</v>
      </c>
      <c r="R25" s="77" t="s">
        <v>39</v>
      </c>
      <c r="S25" s="44">
        <v>0.7</v>
      </c>
      <c r="T25" s="574">
        <v>0.8</v>
      </c>
      <c r="U25" s="574">
        <v>0.9</v>
      </c>
      <c r="V25" s="45">
        <v>1</v>
      </c>
      <c r="W25" s="562">
        <v>400000000</v>
      </c>
      <c r="X25" s="569">
        <v>415000000</v>
      </c>
      <c r="Y25" s="569">
        <v>430000000</v>
      </c>
      <c r="Z25" s="567">
        <v>445000000</v>
      </c>
      <c r="AA25" s="382" t="s">
        <v>852</v>
      </c>
      <c r="AB25" s="547" t="s">
        <v>160</v>
      </c>
      <c r="AC25" s="549" t="s">
        <v>32</v>
      </c>
      <c r="AD25" s="549" t="s">
        <v>42</v>
      </c>
      <c r="AE25" s="552" t="s">
        <v>43</v>
      </c>
      <c r="AF25" s="547" t="s">
        <v>39</v>
      </c>
      <c r="AG25" s="547" t="s">
        <v>1381</v>
      </c>
      <c r="AH25" s="558" t="s">
        <v>178</v>
      </c>
    </row>
    <row r="26" spans="1:34" ht="141.75" customHeight="1" x14ac:dyDescent="0.2">
      <c r="A26" s="596" t="s">
        <v>180</v>
      </c>
      <c r="B26" s="597" t="s">
        <v>181</v>
      </c>
      <c r="C26" s="597" t="s">
        <v>182</v>
      </c>
      <c r="D26" s="597" t="s">
        <v>1376</v>
      </c>
      <c r="E26" s="595" t="s">
        <v>798</v>
      </c>
      <c r="F26" s="595" t="s">
        <v>539</v>
      </c>
      <c r="G26" s="595" t="s">
        <v>185</v>
      </c>
      <c r="H26" s="605" t="s">
        <v>32</v>
      </c>
      <c r="I26" s="355" t="s">
        <v>819</v>
      </c>
      <c r="J26" s="528" t="s">
        <v>186</v>
      </c>
      <c r="K26" s="565" t="s">
        <v>187</v>
      </c>
      <c r="L26" s="565" t="s">
        <v>540</v>
      </c>
      <c r="M26" s="565" t="s">
        <v>1136</v>
      </c>
      <c r="N26" s="560" t="s">
        <v>32</v>
      </c>
      <c r="O26" s="565" t="s">
        <v>1137</v>
      </c>
      <c r="P26" s="560" t="s">
        <v>1432</v>
      </c>
      <c r="Q26" s="307" t="s">
        <v>57</v>
      </c>
      <c r="R26" s="46" t="s">
        <v>39</v>
      </c>
      <c r="S26" s="49">
        <v>1</v>
      </c>
      <c r="T26" s="573" t="s">
        <v>40</v>
      </c>
      <c r="U26" s="573" t="s">
        <v>40</v>
      </c>
      <c r="V26" s="50" t="s">
        <v>40</v>
      </c>
      <c r="W26" s="563">
        <v>150000000</v>
      </c>
      <c r="X26" s="569">
        <v>0</v>
      </c>
      <c r="Y26" s="569">
        <v>0</v>
      </c>
      <c r="Z26" s="567">
        <v>0</v>
      </c>
      <c r="AA26" s="382" t="s">
        <v>1433</v>
      </c>
      <c r="AB26" s="549" t="s">
        <v>1434</v>
      </c>
      <c r="AC26" s="549" t="s">
        <v>32</v>
      </c>
      <c r="AD26" s="549" t="s">
        <v>42</v>
      </c>
      <c r="AE26" s="552" t="s">
        <v>43</v>
      </c>
      <c r="AF26" s="547" t="s">
        <v>188</v>
      </c>
      <c r="AG26" s="547" t="s">
        <v>1386</v>
      </c>
      <c r="AH26" s="558" t="s">
        <v>1428</v>
      </c>
    </row>
    <row r="27" spans="1:34" ht="122.25" customHeight="1" x14ac:dyDescent="0.2">
      <c r="A27" s="596"/>
      <c r="B27" s="597"/>
      <c r="C27" s="597"/>
      <c r="D27" s="597"/>
      <c r="E27" s="595"/>
      <c r="F27" s="595"/>
      <c r="G27" s="595"/>
      <c r="H27" s="605"/>
      <c r="I27" s="355" t="s">
        <v>820</v>
      </c>
      <c r="J27" s="528" t="s">
        <v>189</v>
      </c>
      <c r="K27" s="565" t="s">
        <v>542</v>
      </c>
      <c r="L27" s="565" t="s">
        <v>190</v>
      </c>
      <c r="M27" s="565" t="s">
        <v>1088</v>
      </c>
      <c r="N27" s="560" t="s">
        <v>5</v>
      </c>
      <c r="O27" s="565" t="s">
        <v>543</v>
      </c>
      <c r="P27" s="560" t="s">
        <v>1410</v>
      </c>
      <c r="Q27" s="307" t="s">
        <v>57</v>
      </c>
      <c r="R27" s="444">
        <v>1</v>
      </c>
      <c r="S27" s="49">
        <v>1</v>
      </c>
      <c r="T27" s="47" t="s">
        <v>40</v>
      </c>
      <c r="U27" s="47" t="s">
        <v>40</v>
      </c>
      <c r="V27" s="48" t="s">
        <v>40</v>
      </c>
      <c r="W27" s="562">
        <v>0</v>
      </c>
      <c r="X27" s="569">
        <v>0</v>
      </c>
      <c r="Y27" s="569">
        <v>0</v>
      </c>
      <c r="Z27" s="567">
        <v>0</v>
      </c>
      <c r="AA27" s="382" t="s">
        <v>544</v>
      </c>
      <c r="AB27" s="549" t="s">
        <v>160</v>
      </c>
      <c r="AC27" s="549" t="s">
        <v>32</v>
      </c>
      <c r="AD27" s="549" t="s">
        <v>42</v>
      </c>
      <c r="AE27" s="552" t="s">
        <v>43</v>
      </c>
      <c r="AF27" s="547" t="s">
        <v>39</v>
      </c>
      <c r="AG27" s="547" t="s">
        <v>1386</v>
      </c>
      <c r="AH27" s="558" t="s">
        <v>1428</v>
      </c>
    </row>
    <row r="28" spans="1:34" ht="282.75" customHeight="1" x14ac:dyDescent="0.2">
      <c r="A28" s="548" t="s">
        <v>105</v>
      </c>
      <c r="B28" s="549" t="s">
        <v>106</v>
      </c>
      <c r="C28" s="549" t="s">
        <v>191</v>
      </c>
      <c r="D28" s="549" t="s">
        <v>1378</v>
      </c>
      <c r="E28" s="549" t="s">
        <v>800</v>
      </c>
      <c r="F28" s="549" t="s">
        <v>193</v>
      </c>
      <c r="G28" s="547" t="s">
        <v>194</v>
      </c>
      <c r="H28" s="551" t="s">
        <v>5</v>
      </c>
      <c r="I28" s="355" t="s">
        <v>821</v>
      </c>
      <c r="J28" s="528" t="s">
        <v>195</v>
      </c>
      <c r="K28" s="565" t="s">
        <v>557</v>
      </c>
      <c r="L28" s="565" t="s">
        <v>196</v>
      </c>
      <c r="M28" s="565" t="s">
        <v>1153</v>
      </c>
      <c r="N28" s="560" t="s">
        <v>5</v>
      </c>
      <c r="O28" s="565" t="s">
        <v>1089</v>
      </c>
      <c r="P28" s="565" t="s">
        <v>1154</v>
      </c>
      <c r="Q28" s="307" t="s">
        <v>57</v>
      </c>
      <c r="R28" s="46" t="s">
        <v>39</v>
      </c>
      <c r="S28" s="49">
        <v>1</v>
      </c>
      <c r="T28" s="573">
        <v>1</v>
      </c>
      <c r="U28" s="573">
        <v>1</v>
      </c>
      <c r="V28" s="50">
        <v>1</v>
      </c>
      <c r="W28" s="562">
        <v>186174190</v>
      </c>
      <c r="X28" s="569">
        <v>191759416</v>
      </c>
      <c r="Y28" s="569">
        <v>197512198</v>
      </c>
      <c r="Z28" s="567">
        <v>203437563</v>
      </c>
      <c r="AA28" s="540" t="s">
        <v>850</v>
      </c>
      <c r="AB28" s="549" t="s">
        <v>41</v>
      </c>
      <c r="AC28" s="549" t="s">
        <v>32</v>
      </c>
      <c r="AD28" s="549" t="s">
        <v>42</v>
      </c>
      <c r="AE28" s="552" t="s">
        <v>43</v>
      </c>
      <c r="AF28" s="547" t="s">
        <v>197</v>
      </c>
      <c r="AG28" s="555" t="s">
        <v>1389</v>
      </c>
      <c r="AH28" s="558" t="s">
        <v>935</v>
      </c>
    </row>
    <row r="29" spans="1:34" s="298" customFormat="1" ht="119.25" customHeight="1" x14ac:dyDescent="0.2">
      <c r="A29" s="596" t="s">
        <v>105</v>
      </c>
      <c r="B29" s="597" t="s">
        <v>199</v>
      </c>
      <c r="C29" s="643" t="s">
        <v>200</v>
      </c>
      <c r="D29" s="643" t="s">
        <v>1378</v>
      </c>
      <c r="E29" s="643" t="s">
        <v>801</v>
      </c>
      <c r="F29" s="556" t="s">
        <v>201</v>
      </c>
      <c r="G29" s="547" t="s">
        <v>202</v>
      </c>
      <c r="H29" s="59" t="s">
        <v>32</v>
      </c>
      <c r="I29" s="356" t="s">
        <v>822</v>
      </c>
      <c r="J29" s="360" t="s">
        <v>203</v>
      </c>
      <c r="K29" s="361" t="s">
        <v>204</v>
      </c>
      <c r="L29" s="361" t="s">
        <v>205</v>
      </c>
      <c r="M29" s="560" t="s">
        <v>1090</v>
      </c>
      <c r="N29" s="560" t="s">
        <v>5</v>
      </c>
      <c r="O29" s="560" t="s">
        <v>206</v>
      </c>
      <c r="P29" s="560" t="s">
        <v>1288</v>
      </c>
      <c r="Q29" s="307" t="s">
        <v>57</v>
      </c>
      <c r="R29" s="51" t="s">
        <v>39</v>
      </c>
      <c r="S29" s="52">
        <v>0.9</v>
      </c>
      <c r="T29" s="53">
        <v>0.9</v>
      </c>
      <c r="U29" s="53">
        <v>0.9</v>
      </c>
      <c r="V29" s="54">
        <v>0.9</v>
      </c>
      <c r="W29" s="55">
        <f>1583843597+769009987+187131500+84000000+84614676</f>
        <v>2708599760</v>
      </c>
      <c r="X29" s="56">
        <v>2789857753</v>
      </c>
      <c r="Y29" s="56">
        <v>2873553485</v>
      </c>
      <c r="Z29" s="389">
        <v>2959760000</v>
      </c>
      <c r="AA29" s="383" t="s">
        <v>207</v>
      </c>
      <c r="AB29" s="556" t="s">
        <v>208</v>
      </c>
      <c r="AC29" s="549" t="s">
        <v>32</v>
      </c>
      <c r="AD29" s="549" t="s">
        <v>42</v>
      </c>
      <c r="AE29" s="552" t="s">
        <v>43</v>
      </c>
      <c r="AF29" s="58" t="s">
        <v>209</v>
      </c>
      <c r="AG29" s="555" t="s">
        <v>1389</v>
      </c>
      <c r="AH29" s="59" t="s">
        <v>1391</v>
      </c>
    </row>
    <row r="30" spans="1:34" ht="108" customHeight="1" x14ac:dyDescent="0.2">
      <c r="A30" s="596"/>
      <c r="B30" s="597"/>
      <c r="C30" s="643"/>
      <c r="D30" s="643"/>
      <c r="E30" s="643"/>
      <c r="F30" s="554" t="s">
        <v>211</v>
      </c>
      <c r="G30" s="547" t="s">
        <v>212</v>
      </c>
      <c r="H30" s="59" t="s">
        <v>5</v>
      </c>
      <c r="I30" s="356" t="s">
        <v>823</v>
      </c>
      <c r="J30" s="360" t="s">
        <v>213</v>
      </c>
      <c r="K30" s="572" t="s">
        <v>214</v>
      </c>
      <c r="L30" s="572" t="s">
        <v>1093</v>
      </c>
      <c r="M30" s="560" t="s">
        <v>1094</v>
      </c>
      <c r="N30" s="560" t="s">
        <v>5</v>
      </c>
      <c r="O30" s="560" t="s">
        <v>215</v>
      </c>
      <c r="P30" s="560" t="s">
        <v>1411</v>
      </c>
      <c r="Q30" s="307" t="s">
        <v>57</v>
      </c>
      <c r="R30" s="62" t="s">
        <v>39</v>
      </c>
      <c r="S30" s="63">
        <v>0.1</v>
      </c>
      <c r="T30" s="64">
        <v>0.5</v>
      </c>
      <c r="U30" s="64">
        <v>0.2</v>
      </c>
      <c r="V30" s="65">
        <v>0.2</v>
      </c>
      <c r="W30" s="66">
        <v>0</v>
      </c>
      <c r="X30" s="25">
        <v>40000000</v>
      </c>
      <c r="Y30" s="25">
        <v>10300000</v>
      </c>
      <c r="Z30" s="385">
        <v>10609000</v>
      </c>
      <c r="AA30" s="383" t="s">
        <v>217</v>
      </c>
      <c r="AB30" s="556" t="s">
        <v>216</v>
      </c>
      <c r="AC30" s="549" t="s">
        <v>32</v>
      </c>
      <c r="AD30" s="554" t="s">
        <v>42</v>
      </c>
      <c r="AE30" s="552" t="s">
        <v>43</v>
      </c>
      <c r="AF30" s="556" t="s">
        <v>218</v>
      </c>
      <c r="AG30" s="555" t="s">
        <v>1389</v>
      </c>
      <c r="AH30" s="571" t="s">
        <v>1392</v>
      </c>
    </row>
    <row r="31" spans="1:34" ht="116.25" customHeight="1" x14ac:dyDescent="0.2">
      <c r="A31" s="596"/>
      <c r="B31" s="597"/>
      <c r="C31" s="643"/>
      <c r="D31" s="643"/>
      <c r="E31" s="643"/>
      <c r="F31" s="556" t="s">
        <v>220</v>
      </c>
      <c r="G31" s="547" t="s">
        <v>221</v>
      </c>
      <c r="H31" s="571" t="s">
        <v>5</v>
      </c>
      <c r="I31" s="352" t="s">
        <v>824</v>
      </c>
      <c r="J31" s="360" t="s">
        <v>222</v>
      </c>
      <c r="K31" s="572" t="s">
        <v>223</v>
      </c>
      <c r="L31" s="361" t="s">
        <v>224</v>
      </c>
      <c r="M31" s="565" t="s">
        <v>1096</v>
      </c>
      <c r="N31" s="560" t="s">
        <v>5</v>
      </c>
      <c r="O31" s="560" t="s">
        <v>225</v>
      </c>
      <c r="P31" s="560" t="s">
        <v>1097</v>
      </c>
      <c r="Q31" s="307" t="s">
        <v>57</v>
      </c>
      <c r="R31" s="62" t="s">
        <v>39</v>
      </c>
      <c r="S31" s="63">
        <v>0.3</v>
      </c>
      <c r="T31" s="64">
        <v>0.3</v>
      </c>
      <c r="U31" s="64">
        <v>0.2</v>
      </c>
      <c r="V31" s="65">
        <v>0.2</v>
      </c>
      <c r="W31" s="66">
        <v>30000000</v>
      </c>
      <c r="X31" s="68">
        <v>30900000</v>
      </c>
      <c r="Y31" s="68">
        <v>21200000</v>
      </c>
      <c r="Z31" s="390">
        <v>21836000</v>
      </c>
      <c r="AA31" s="384" t="s">
        <v>227</v>
      </c>
      <c r="AB31" s="556" t="s">
        <v>226</v>
      </c>
      <c r="AC31" s="549" t="s">
        <v>32</v>
      </c>
      <c r="AD31" s="554" t="s">
        <v>42</v>
      </c>
      <c r="AE31" s="552" t="s">
        <v>43</v>
      </c>
      <c r="AF31" s="556" t="s">
        <v>228</v>
      </c>
      <c r="AG31" s="555" t="s">
        <v>1389</v>
      </c>
      <c r="AH31" s="571" t="s">
        <v>1392</v>
      </c>
    </row>
    <row r="32" spans="1:34" ht="144.75" customHeight="1" x14ac:dyDescent="0.2">
      <c r="A32" s="650" t="s">
        <v>180</v>
      </c>
      <c r="B32" s="653" t="s">
        <v>181</v>
      </c>
      <c r="C32" s="644" t="s">
        <v>231</v>
      </c>
      <c r="D32" s="644" t="s">
        <v>1376</v>
      </c>
      <c r="E32" s="647" t="s">
        <v>1157</v>
      </c>
      <c r="F32" s="639" t="s">
        <v>233</v>
      </c>
      <c r="G32" s="549" t="s">
        <v>234</v>
      </c>
      <c r="H32" s="571" t="s">
        <v>32</v>
      </c>
      <c r="I32" s="352" t="s">
        <v>825</v>
      </c>
      <c r="J32" s="363" t="s">
        <v>235</v>
      </c>
      <c r="K32" s="572" t="s">
        <v>558</v>
      </c>
      <c r="L32" s="572" t="s">
        <v>236</v>
      </c>
      <c r="M32" s="565" t="s">
        <v>237</v>
      </c>
      <c r="N32" s="565" t="s">
        <v>32</v>
      </c>
      <c r="O32" s="565" t="s">
        <v>1289</v>
      </c>
      <c r="P32" s="565" t="s">
        <v>1290</v>
      </c>
      <c r="Q32" s="307" t="s">
        <v>57</v>
      </c>
      <c r="R32" s="70">
        <v>0.69</v>
      </c>
      <c r="S32" s="71">
        <v>0.9</v>
      </c>
      <c r="T32" s="72">
        <v>0.9</v>
      </c>
      <c r="U32" s="72">
        <v>0.9</v>
      </c>
      <c r="V32" s="73">
        <v>0.9</v>
      </c>
      <c r="W32" s="66">
        <v>412200000</v>
      </c>
      <c r="X32" s="68">
        <v>212000000</v>
      </c>
      <c r="Y32" s="68">
        <v>80000000</v>
      </c>
      <c r="Z32" s="390">
        <v>0</v>
      </c>
      <c r="AA32" s="384" t="s">
        <v>238</v>
      </c>
      <c r="AB32" s="554" t="s">
        <v>239</v>
      </c>
      <c r="AC32" s="549" t="s">
        <v>32</v>
      </c>
      <c r="AD32" s="554" t="s">
        <v>42</v>
      </c>
      <c r="AE32" s="552" t="s">
        <v>43</v>
      </c>
      <c r="AF32" s="554" t="s">
        <v>240</v>
      </c>
      <c r="AG32" s="555" t="s">
        <v>1389</v>
      </c>
      <c r="AH32" s="571" t="s">
        <v>1402</v>
      </c>
    </row>
    <row r="33" spans="1:34" ht="114.75" customHeight="1" x14ac:dyDescent="0.2">
      <c r="A33" s="651"/>
      <c r="B33" s="654"/>
      <c r="C33" s="645"/>
      <c r="D33" s="645"/>
      <c r="E33" s="648"/>
      <c r="F33" s="639"/>
      <c r="G33" s="549" t="s">
        <v>242</v>
      </c>
      <c r="H33" s="571" t="s">
        <v>32</v>
      </c>
      <c r="I33" s="352" t="s">
        <v>1158</v>
      </c>
      <c r="J33" s="363" t="s">
        <v>243</v>
      </c>
      <c r="K33" s="572" t="s">
        <v>780</v>
      </c>
      <c r="L33" s="572" t="s">
        <v>236</v>
      </c>
      <c r="M33" s="565" t="s">
        <v>244</v>
      </c>
      <c r="N33" s="565" t="s">
        <v>32</v>
      </c>
      <c r="O33" s="565" t="s">
        <v>245</v>
      </c>
      <c r="P33" s="565" t="s">
        <v>1291</v>
      </c>
      <c r="Q33" s="307" t="s">
        <v>57</v>
      </c>
      <c r="R33" s="62" t="s">
        <v>39</v>
      </c>
      <c r="S33" s="71">
        <v>0.9</v>
      </c>
      <c r="T33" s="72">
        <v>0.9</v>
      </c>
      <c r="U33" s="72">
        <v>0.9</v>
      </c>
      <c r="V33" s="73">
        <v>0.9</v>
      </c>
      <c r="W33" s="66">
        <f>195000000+67980000+67980000</f>
        <v>330960000</v>
      </c>
      <c r="X33" s="68">
        <f>90000000+140038800</f>
        <v>230038800</v>
      </c>
      <c r="Y33" s="68">
        <f>90000000+144239964</f>
        <v>234239964</v>
      </c>
      <c r="Z33" s="390">
        <v>148567162.91999999</v>
      </c>
      <c r="AA33" s="384" t="s">
        <v>238</v>
      </c>
      <c r="AB33" s="554" t="s">
        <v>246</v>
      </c>
      <c r="AC33" s="549" t="s">
        <v>32</v>
      </c>
      <c r="AD33" s="554" t="s">
        <v>42</v>
      </c>
      <c r="AE33" s="552" t="s">
        <v>43</v>
      </c>
      <c r="AF33" s="554" t="s">
        <v>240</v>
      </c>
      <c r="AG33" s="555" t="s">
        <v>1389</v>
      </c>
      <c r="AH33" s="571" t="s">
        <v>1402</v>
      </c>
    </row>
    <row r="34" spans="1:34" ht="139.5" customHeight="1" x14ac:dyDescent="0.2">
      <c r="A34" s="651"/>
      <c r="B34" s="654"/>
      <c r="C34" s="645"/>
      <c r="D34" s="645"/>
      <c r="E34" s="648"/>
      <c r="F34" s="639"/>
      <c r="G34" s="549" t="s">
        <v>247</v>
      </c>
      <c r="H34" s="571" t="s">
        <v>32</v>
      </c>
      <c r="I34" s="352" t="s">
        <v>1159</v>
      </c>
      <c r="J34" s="363" t="s">
        <v>248</v>
      </c>
      <c r="K34" s="572" t="s">
        <v>781</v>
      </c>
      <c r="L34" s="572" t="s">
        <v>236</v>
      </c>
      <c r="M34" s="565" t="s">
        <v>249</v>
      </c>
      <c r="N34" s="565" t="s">
        <v>32</v>
      </c>
      <c r="O34" s="565" t="s">
        <v>250</v>
      </c>
      <c r="P34" s="565" t="s">
        <v>1292</v>
      </c>
      <c r="Q34" s="307" t="s">
        <v>57</v>
      </c>
      <c r="R34" s="62" t="s">
        <v>39</v>
      </c>
      <c r="S34" s="71">
        <v>0.9</v>
      </c>
      <c r="T34" s="72">
        <v>0.9</v>
      </c>
      <c r="U34" s="72">
        <v>0.9</v>
      </c>
      <c r="V34" s="73">
        <v>0.9</v>
      </c>
      <c r="W34" s="66">
        <v>0</v>
      </c>
      <c r="X34" s="68">
        <v>0</v>
      </c>
      <c r="Y34" s="68">
        <v>0</v>
      </c>
      <c r="Z34" s="390">
        <v>0</v>
      </c>
      <c r="AA34" s="384" t="s">
        <v>238</v>
      </c>
      <c r="AB34" s="554" t="s">
        <v>251</v>
      </c>
      <c r="AC34" s="549" t="s">
        <v>32</v>
      </c>
      <c r="AD34" s="554" t="s">
        <v>42</v>
      </c>
      <c r="AE34" s="552" t="s">
        <v>43</v>
      </c>
      <c r="AF34" s="554" t="s">
        <v>240</v>
      </c>
      <c r="AG34" s="555" t="s">
        <v>1389</v>
      </c>
      <c r="AH34" s="571" t="s">
        <v>1402</v>
      </c>
    </row>
    <row r="35" spans="1:34" s="298" customFormat="1" ht="246" customHeight="1" x14ac:dyDescent="0.2">
      <c r="A35" s="652"/>
      <c r="B35" s="655"/>
      <c r="C35" s="646"/>
      <c r="D35" s="646"/>
      <c r="E35" s="649"/>
      <c r="F35" s="547" t="s">
        <v>937</v>
      </c>
      <c r="G35" s="547" t="s">
        <v>978</v>
      </c>
      <c r="H35" s="558" t="s">
        <v>32</v>
      </c>
      <c r="I35" s="351" t="s">
        <v>1160</v>
      </c>
      <c r="J35" s="559" t="s">
        <v>1412</v>
      </c>
      <c r="K35" s="559" t="s">
        <v>1199</v>
      </c>
      <c r="L35" s="560" t="s">
        <v>979</v>
      </c>
      <c r="M35" s="560" t="s">
        <v>936</v>
      </c>
      <c r="N35" s="560" t="s">
        <v>33</v>
      </c>
      <c r="O35" s="559" t="s">
        <v>1200</v>
      </c>
      <c r="P35" s="560" t="s">
        <v>942</v>
      </c>
      <c r="Q35" s="564" t="s">
        <v>57</v>
      </c>
      <c r="R35" s="564" t="s">
        <v>39</v>
      </c>
      <c r="S35" s="37">
        <v>0.9</v>
      </c>
      <c r="T35" s="38">
        <v>0.9</v>
      </c>
      <c r="U35" s="38">
        <v>0.9</v>
      </c>
      <c r="V35" s="39">
        <v>0.9</v>
      </c>
      <c r="W35" s="42" t="s">
        <v>40</v>
      </c>
      <c r="X35" s="43" t="s">
        <v>40</v>
      </c>
      <c r="Y35" s="43" t="s">
        <v>40</v>
      </c>
      <c r="Z35" s="388" t="s">
        <v>40</v>
      </c>
      <c r="AA35" s="382" t="s">
        <v>1201</v>
      </c>
      <c r="AB35" s="547" t="s">
        <v>941</v>
      </c>
      <c r="AC35" s="547" t="s">
        <v>5</v>
      </c>
      <c r="AD35" s="547" t="s">
        <v>42</v>
      </c>
      <c r="AE35" s="549" t="s">
        <v>72</v>
      </c>
      <c r="AF35" s="547" t="s">
        <v>39</v>
      </c>
      <c r="AG35" s="547" t="s">
        <v>1386</v>
      </c>
      <c r="AH35" s="558" t="s">
        <v>1429</v>
      </c>
    </row>
    <row r="36" spans="1:34" ht="140.25" customHeight="1" x14ac:dyDescent="0.2">
      <c r="A36" s="638" t="s">
        <v>252</v>
      </c>
      <c r="B36" s="597" t="s">
        <v>253</v>
      </c>
      <c r="C36" s="639" t="s">
        <v>254</v>
      </c>
      <c r="D36" s="639" t="s">
        <v>1378</v>
      </c>
      <c r="E36" s="640" t="s">
        <v>802</v>
      </c>
      <c r="F36" s="643" t="s">
        <v>256</v>
      </c>
      <c r="G36" s="549" t="s">
        <v>257</v>
      </c>
      <c r="H36" s="571" t="s">
        <v>32</v>
      </c>
      <c r="I36" s="352" t="s">
        <v>826</v>
      </c>
      <c r="J36" s="364" t="s">
        <v>258</v>
      </c>
      <c r="K36" s="362" t="s">
        <v>559</v>
      </c>
      <c r="L36" s="362" t="s">
        <v>259</v>
      </c>
      <c r="M36" s="560" t="s">
        <v>1098</v>
      </c>
      <c r="N36" s="565" t="s">
        <v>5</v>
      </c>
      <c r="O36" s="539" t="s">
        <v>260</v>
      </c>
      <c r="P36" s="560" t="s">
        <v>1293</v>
      </c>
      <c r="Q36" s="307" t="s">
        <v>57</v>
      </c>
      <c r="R36" s="20" t="s">
        <v>39</v>
      </c>
      <c r="S36" s="71">
        <v>0.9</v>
      </c>
      <c r="T36" s="72">
        <v>0.9</v>
      </c>
      <c r="U36" s="72">
        <v>0.9</v>
      </c>
      <c r="V36" s="73">
        <v>0.9</v>
      </c>
      <c r="W36" s="66">
        <v>34778222</v>
      </c>
      <c r="X36" s="74">
        <v>0</v>
      </c>
      <c r="Y36" s="74">
        <v>0</v>
      </c>
      <c r="Z36" s="391">
        <v>0</v>
      </c>
      <c r="AA36" s="381" t="s">
        <v>261</v>
      </c>
      <c r="AB36" s="555" t="s">
        <v>262</v>
      </c>
      <c r="AC36" s="549" t="s">
        <v>32</v>
      </c>
      <c r="AD36" s="554" t="s">
        <v>42</v>
      </c>
      <c r="AE36" s="552" t="s">
        <v>43</v>
      </c>
      <c r="AF36" s="555" t="s">
        <v>263</v>
      </c>
      <c r="AG36" s="555" t="s">
        <v>1389</v>
      </c>
      <c r="AH36" s="26" t="s">
        <v>1390</v>
      </c>
    </row>
    <row r="37" spans="1:34" ht="141" customHeight="1" x14ac:dyDescent="0.2">
      <c r="A37" s="638"/>
      <c r="B37" s="597"/>
      <c r="C37" s="639"/>
      <c r="D37" s="639"/>
      <c r="E37" s="640"/>
      <c r="F37" s="643"/>
      <c r="G37" s="549" t="s">
        <v>265</v>
      </c>
      <c r="H37" s="571" t="s">
        <v>32</v>
      </c>
      <c r="I37" s="352" t="s">
        <v>827</v>
      </c>
      <c r="J37" s="363" t="s">
        <v>266</v>
      </c>
      <c r="K37" s="572" t="s">
        <v>560</v>
      </c>
      <c r="L37" s="362" t="s">
        <v>267</v>
      </c>
      <c r="M37" s="539" t="s">
        <v>1099</v>
      </c>
      <c r="N37" s="565" t="s">
        <v>5</v>
      </c>
      <c r="O37" s="539" t="s">
        <v>268</v>
      </c>
      <c r="P37" s="539" t="s">
        <v>1294</v>
      </c>
      <c r="Q37" s="307" t="s">
        <v>57</v>
      </c>
      <c r="R37" s="20" t="s">
        <v>39</v>
      </c>
      <c r="S37" s="71">
        <v>0.91</v>
      </c>
      <c r="T37" s="72">
        <v>0.91</v>
      </c>
      <c r="U37" s="72">
        <v>0.91</v>
      </c>
      <c r="V37" s="73">
        <v>0.91</v>
      </c>
      <c r="W37" s="24">
        <v>35000000</v>
      </c>
      <c r="X37" s="25">
        <f t="shared" ref="X37:Z37" si="1">+W37*(1+3%)</f>
        <v>36050000</v>
      </c>
      <c r="Y37" s="25">
        <f t="shared" si="1"/>
        <v>37131500</v>
      </c>
      <c r="Z37" s="385">
        <f t="shared" si="1"/>
        <v>38245445</v>
      </c>
      <c r="AA37" s="381" t="s">
        <v>261</v>
      </c>
      <c r="AB37" s="555" t="s">
        <v>269</v>
      </c>
      <c r="AC37" s="549" t="s">
        <v>32</v>
      </c>
      <c r="AD37" s="554" t="s">
        <v>42</v>
      </c>
      <c r="AE37" s="552" t="s">
        <v>43</v>
      </c>
      <c r="AF37" s="554" t="s">
        <v>39</v>
      </c>
      <c r="AG37" s="555" t="s">
        <v>1389</v>
      </c>
      <c r="AH37" s="26" t="s">
        <v>1390</v>
      </c>
    </row>
    <row r="38" spans="1:34" s="298" customFormat="1" ht="149.25" customHeight="1" x14ac:dyDescent="0.2">
      <c r="A38" s="638"/>
      <c r="B38" s="597"/>
      <c r="C38" s="639"/>
      <c r="D38" s="639"/>
      <c r="E38" s="640"/>
      <c r="F38" s="643"/>
      <c r="G38" s="549" t="s">
        <v>270</v>
      </c>
      <c r="H38" s="571" t="s">
        <v>32</v>
      </c>
      <c r="I38" s="352" t="s">
        <v>828</v>
      </c>
      <c r="J38" s="360" t="s">
        <v>271</v>
      </c>
      <c r="K38" s="361" t="s">
        <v>561</v>
      </c>
      <c r="L38" s="361" t="s">
        <v>272</v>
      </c>
      <c r="M38" s="560" t="s">
        <v>1100</v>
      </c>
      <c r="N38" s="565" t="s">
        <v>5</v>
      </c>
      <c r="O38" s="560" t="s">
        <v>273</v>
      </c>
      <c r="P38" s="560" t="s">
        <v>1295</v>
      </c>
      <c r="Q38" s="307" t="s">
        <v>57</v>
      </c>
      <c r="R38" s="62" t="s">
        <v>39</v>
      </c>
      <c r="S38" s="63">
        <v>0.8</v>
      </c>
      <c r="T38" s="64">
        <v>0.8</v>
      </c>
      <c r="U38" s="64">
        <v>0.8</v>
      </c>
      <c r="V38" s="65">
        <v>0.8</v>
      </c>
      <c r="W38" s="24">
        <f>47800776+60306000</f>
        <v>108106776</v>
      </c>
      <c r="X38" s="74">
        <v>0</v>
      </c>
      <c r="Y38" s="74">
        <v>0</v>
      </c>
      <c r="Z38" s="391">
        <v>0</v>
      </c>
      <c r="AA38" s="383" t="s">
        <v>274</v>
      </c>
      <c r="AB38" s="556" t="s">
        <v>275</v>
      </c>
      <c r="AC38" s="549" t="s">
        <v>32</v>
      </c>
      <c r="AD38" s="554" t="s">
        <v>42</v>
      </c>
      <c r="AE38" s="552" t="s">
        <v>43</v>
      </c>
      <c r="AF38" s="556" t="s">
        <v>276</v>
      </c>
      <c r="AG38" s="555" t="s">
        <v>1389</v>
      </c>
      <c r="AH38" s="26" t="s">
        <v>1390</v>
      </c>
    </row>
    <row r="39" spans="1:34" s="298" customFormat="1" ht="128.25" customHeight="1" x14ac:dyDescent="0.2">
      <c r="A39" s="638"/>
      <c r="B39" s="597"/>
      <c r="C39" s="639"/>
      <c r="D39" s="639"/>
      <c r="E39" s="640"/>
      <c r="F39" s="643"/>
      <c r="G39" s="549" t="s">
        <v>277</v>
      </c>
      <c r="H39" s="571" t="s">
        <v>32</v>
      </c>
      <c r="I39" s="352" t="s">
        <v>829</v>
      </c>
      <c r="J39" s="360" t="s">
        <v>278</v>
      </c>
      <c r="K39" s="361" t="s">
        <v>279</v>
      </c>
      <c r="L39" s="361" t="s">
        <v>280</v>
      </c>
      <c r="M39" s="560" t="s">
        <v>1101</v>
      </c>
      <c r="N39" s="565" t="s">
        <v>5</v>
      </c>
      <c r="O39" s="560" t="s">
        <v>281</v>
      </c>
      <c r="P39" s="560" t="s">
        <v>1296</v>
      </c>
      <c r="Q39" s="307" t="s">
        <v>57</v>
      </c>
      <c r="R39" s="62" t="s">
        <v>39</v>
      </c>
      <c r="S39" s="63">
        <v>0.8</v>
      </c>
      <c r="T39" s="64">
        <v>0.8</v>
      </c>
      <c r="U39" s="64">
        <v>0.8</v>
      </c>
      <c r="V39" s="65">
        <v>0.8</v>
      </c>
      <c r="W39" s="24">
        <v>0</v>
      </c>
      <c r="X39" s="25">
        <v>0</v>
      </c>
      <c r="Y39" s="25">
        <v>0</v>
      </c>
      <c r="Z39" s="385">
        <v>0</v>
      </c>
      <c r="AA39" s="383" t="s">
        <v>274</v>
      </c>
      <c r="AB39" s="556" t="s">
        <v>282</v>
      </c>
      <c r="AC39" s="549" t="s">
        <v>32</v>
      </c>
      <c r="AD39" s="554" t="s">
        <v>42</v>
      </c>
      <c r="AE39" s="552" t="s">
        <v>43</v>
      </c>
      <c r="AF39" s="556" t="s">
        <v>39</v>
      </c>
      <c r="AG39" s="555" t="s">
        <v>1389</v>
      </c>
      <c r="AH39" s="26" t="s">
        <v>1390</v>
      </c>
    </row>
    <row r="40" spans="1:34" s="299" customFormat="1" ht="178.5" customHeight="1" x14ac:dyDescent="0.25">
      <c r="A40" s="57" t="s">
        <v>283</v>
      </c>
      <c r="B40" s="549" t="s">
        <v>284</v>
      </c>
      <c r="C40" s="556" t="s">
        <v>285</v>
      </c>
      <c r="D40" s="556" t="s">
        <v>1378</v>
      </c>
      <c r="E40" s="549" t="s">
        <v>803</v>
      </c>
      <c r="F40" s="549" t="s">
        <v>287</v>
      </c>
      <c r="G40" s="549" t="s">
        <v>288</v>
      </c>
      <c r="H40" s="571" t="s">
        <v>32</v>
      </c>
      <c r="I40" s="352" t="s">
        <v>830</v>
      </c>
      <c r="J40" s="528" t="s">
        <v>289</v>
      </c>
      <c r="K40" s="565" t="s">
        <v>290</v>
      </c>
      <c r="L40" s="565" t="s">
        <v>291</v>
      </c>
      <c r="M40" s="565" t="s">
        <v>1102</v>
      </c>
      <c r="N40" s="565" t="s">
        <v>5</v>
      </c>
      <c r="O40" s="366" t="s">
        <v>292</v>
      </c>
      <c r="P40" s="565" t="s">
        <v>293</v>
      </c>
      <c r="Q40" s="307" t="s">
        <v>57</v>
      </c>
      <c r="R40" s="566" t="s">
        <v>39</v>
      </c>
      <c r="S40" s="29">
        <v>1</v>
      </c>
      <c r="T40" s="30">
        <v>1</v>
      </c>
      <c r="U40" s="30">
        <v>1</v>
      </c>
      <c r="V40" s="31">
        <v>1</v>
      </c>
      <c r="W40" s="563">
        <v>22660000</v>
      </c>
      <c r="X40" s="570">
        <v>23339800</v>
      </c>
      <c r="Y40" s="570">
        <v>24039994</v>
      </c>
      <c r="Z40" s="568">
        <v>24761193.82</v>
      </c>
      <c r="AA40" s="578" t="s">
        <v>294</v>
      </c>
      <c r="AB40" s="549" t="s">
        <v>41</v>
      </c>
      <c r="AC40" s="549" t="s">
        <v>32</v>
      </c>
      <c r="AD40" s="554" t="s">
        <v>42</v>
      </c>
      <c r="AE40" s="552" t="s">
        <v>43</v>
      </c>
      <c r="AF40" s="549" t="s">
        <v>39</v>
      </c>
      <c r="AG40" s="555" t="s">
        <v>1389</v>
      </c>
      <c r="AH40" s="551" t="s">
        <v>1393</v>
      </c>
    </row>
    <row r="41" spans="1:34" s="300" customFormat="1" ht="44.25" customHeight="1" x14ac:dyDescent="0.25">
      <c r="A41" s="641" t="s">
        <v>296</v>
      </c>
      <c r="B41" s="642" t="s">
        <v>297</v>
      </c>
      <c r="C41" s="642" t="s">
        <v>298</v>
      </c>
      <c r="D41" s="597" t="s">
        <v>1378</v>
      </c>
      <c r="E41" s="597" t="s">
        <v>804</v>
      </c>
      <c r="F41" s="597" t="s">
        <v>546</v>
      </c>
      <c r="G41" s="597" t="s">
        <v>300</v>
      </c>
      <c r="H41" s="688" t="s">
        <v>32</v>
      </c>
      <c r="I41" s="352" t="s">
        <v>831</v>
      </c>
      <c r="J41" s="677" t="s">
        <v>301</v>
      </c>
      <c r="K41" s="680" t="s">
        <v>1418</v>
      </c>
      <c r="L41" s="565" t="s">
        <v>947</v>
      </c>
      <c r="M41" s="565" t="s">
        <v>948</v>
      </c>
      <c r="N41" s="565" t="s">
        <v>5</v>
      </c>
      <c r="O41" s="565" t="s">
        <v>954</v>
      </c>
      <c r="P41" s="565" t="s">
        <v>960</v>
      </c>
      <c r="Q41" s="564" t="s">
        <v>57</v>
      </c>
      <c r="R41" s="681" t="s">
        <v>39</v>
      </c>
      <c r="S41" s="78" t="s">
        <v>685</v>
      </c>
      <c r="T41" s="564" t="s">
        <v>685</v>
      </c>
      <c r="U41" s="564" t="s">
        <v>685</v>
      </c>
      <c r="V41" s="79" t="s">
        <v>685</v>
      </c>
      <c r="W41" s="671">
        <v>390698364</v>
      </c>
      <c r="X41" s="687">
        <f>+(W41*3%)+W41</f>
        <v>402419314.92000002</v>
      </c>
      <c r="Y41" s="687">
        <f>+(X41*3%)+X41</f>
        <v>414491894.36760002</v>
      </c>
      <c r="Z41" s="685">
        <f>+(Y41*3%)+Y41</f>
        <v>426926651.19862801</v>
      </c>
      <c r="AA41" s="578" t="s">
        <v>687</v>
      </c>
      <c r="AB41" s="549" t="s">
        <v>41</v>
      </c>
      <c r="AC41" s="549" t="s">
        <v>5</v>
      </c>
      <c r="AD41" s="549" t="s">
        <v>302</v>
      </c>
      <c r="AE41" s="552" t="s">
        <v>43</v>
      </c>
      <c r="AF41" s="642" t="s">
        <v>303</v>
      </c>
      <c r="AG41" s="565" t="s">
        <v>1398</v>
      </c>
      <c r="AH41" s="551" t="s">
        <v>1403</v>
      </c>
    </row>
    <row r="42" spans="1:34" s="300" customFormat="1" ht="60.75" customHeight="1" x14ac:dyDescent="0.25">
      <c r="A42" s="641"/>
      <c r="B42" s="642"/>
      <c r="C42" s="642"/>
      <c r="D42" s="597"/>
      <c r="E42" s="597"/>
      <c r="F42" s="597"/>
      <c r="G42" s="597"/>
      <c r="H42" s="688"/>
      <c r="I42" s="352" t="s">
        <v>832</v>
      </c>
      <c r="J42" s="678"/>
      <c r="K42" s="680"/>
      <c r="L42" s="565" t="s">
        <v>949</v>
      </c>
      <c r="M42" s="549" t="s">
        <v>1103</v>
      </c>
      <c r="N42" s="565" t="s">
        <v>5</v>
      </c>
      <c r="O42" s="565" t="s">
        <v>955</v>
      </c>
      <c r="P42" s="565" t="s">
        <v>961</v>
      </c>
      <c r="Q42" s="564" t="s">
        <v>57</v>
      </c>
      <c r="R42" s="681"/>
      <c r="S42" s="78" t="s">
        <v>1420</v>
      </c>
      <c r="T42" s="564" t="s">
        <v>1420</v>
      </c>
      <c r="U42" s="564" t="s">
        <v>1420</v>
      </c>
      <c r="V42" s="79" t="s">
        <v>1420</v>
      </c>
      <c r="W42" s="671"/>
      <c r="X42" s="687"/>
      <c r="Y42" s="687"/>
      <c r="Z42" s="685"/>
      <c r="AA42" s="578" t="s">
        <v>690</v>
      </c>
      <c r="AB42" s="549" t="s">
        <v>41</v>
      </c>
      <c r="AC42" s="549" t="s">
        <v>5</v>
      </c>
      <c r="AD42" s="549" t="s">
        <v>42</v>
      </c>
      <c r="AE42" s="549" t="s">
        <v>72</v>
      </c>
      <c r="AF42" s="642"/>
      <c r="AG42" s="565" t="s">
        <v>1398</v>
      </c>
      <c r="AH42" s="551" t="s">
        <v>1398</v>
      </c>
    </row>
    <row r="43" spans="1:34" s="300" customFormat="1" ht="58.5" customHeight="1" x14ac:dyDescent="0.25">
      <c r="A43" s="641"/>
      <c r="B43" s="642"/>
      <c r="C43" s="642"/>
      <c r="D43" s="597"/>
      <c r="E43" s="597"/>
      <c r="F43" s="597"/>
      <c r="G43" s="597"/>
      <c r="H43" s="688"/>
      <c r="I43" s="352" t="s">
        <v>833</v>
      </c>
      <c r="J43" s="678"/>
      <c r="K43" s="680"/>
      <c r="L43" s="565" t="s">
        <v>950</v>
      </c>
      <c r="M43" s="565" t="s">
        <v>1104</v>
      </c>
      <c r="N43" s="565" t="s">
        <v>5</v>
      </c>
      <c r="O43" s="565" t="s">
        <v>956</v>
      </c>
      <c r="P43" s="565" t="s">
        <v>1297</v>
      </c>
      <c r="Q43" s="307" t="s">
        <v>38</v>
      </c>
      <c r="R43" s="681"/>
      <c r="S43" s="78" t="s">
        <v>685</v>
      </c>
      <c r="T43" s="564" t="s">
        <v>685</v>
      </c>
      <c r="U43" s="564" t="s">
        <v>685</v>
      </c>
      <c r="V43" s="79" t="s">
        <v>685</v>
      </c>
      <c r="W43" s="671"/>
      <c r="X43" s="687"/>
      <c r="Y43" s="687"/>
      <c r="Z43" s="685"/>
      <c r="AA43" s="578" t="s">
        <v>306</v>
      </c>
      <c r="AB43" s="549" t="s">
        <v>41</v>
      </c>
      <c r="AC43" s="549" t="s">
        <v>5</v>
      </c>
      <c r="AD43" s="549" t="s">
        <v>302</v>
      </c>
      <c r="AE43" s="549" t="s">
        <v>72</v>
      </c>
      <c r="AF43" s="642"/>
      <c r="AG43" s="565" t="s">
        <v>1398</v>
      </c>
      <c r="AH43" s="551" t="s">
        <v>1404</v>
      </c>
    </row>
    <row r="44" spans="1:34" s="300" customFormat="1" ht="49.5" customHeight="1" x14ac:dyDescent="0.25">
      <c r="A44" s="641"/>
      <c r="B44" s="642"/>
      <c r="C44" s="642"/>
      <c r="D44" s="597"/>
      <c r="E44" s="597"/>
      <c r="F44" s="597"/>
      <c r="G44" s="597"/>
      <c r="H44" s="688"/>
      <c r="I44" s="352" t="s">
        <v>834</v>
      </c>
      <c r="J44" s="678"/>
      <c r="K44" s="680"/>
      <c r="L44" s="565" t="s">
        <v>951</v>
      </c>
      <c r="M44" s="565" t="s">
        <v>1105</v>
      </c>
      <c r="N44" s="565" t="s">
        <v>32</v>
      </c>
      <c r="O44" s="565" t="s">
        <v>957</v>
      </c>
      <c r="P44" s="565" t="s">
        <v>1298</v>
      </c>
      <c r="Q44" s="307" t="s">
        <v>38</v>
      </c>
      <c r="R44" s="681"/>
      <c r="S44" s="78" t="s">
        <v>686</v>
      </c>
      <c r="T44" s="564" t="s">
        <v>686</v>
      </c>
      <c r="U44" s="564" t="s">
        <v>686</v>
      </c>
      <c r="V44" s="79" t="s">
        <v>686</v>
      </c>
      <c r="W44" s="671"/>
      <c r="X44" s="687"/>
      <c r="Y44" s="687"/>
      <c r="Z44" s="685"/>
      <c r="AA44" s="578" t="s">
        <v>688</v>
      </c>
      <c r="AB44" s="549" t="s">
        <v>41</v>
      </c>
      <c r="AC44" s="549" t="s">
        <v>32</v>
      </c>
      <c r="AD44" s="549" t="s">
        <v>302</v>
      </c>
      <c r="AE44" s="549" t="s">
        <v>72</v>
      </c>
      <c r="AF44" s="642"/>
      <c r="AG44" s="565" t="s">
        <v>1398</v>
      </c>
      <c r="AH44" s="551" t="s">
        <v>1400</v>
      </c>
    </row>
    <row r="45" spans="1:34" s="300" customFormat="1" ht="52.5" customHeight="1" x14ac:dyDescent="0.25">
      <c r="A45" s="641"/>
      <c r="B45" s="642"/>
      <c r="C45" s="642"/>
      <c r="D45" s="597"/>
      <c r="E45" s="597"/>
      <c r="F45" s="597"/>
      <c r="G45" s="597"/>
      <c r="H45" s="688"/>
      <c r="I45" s="352" t="s">
        <v>835</v>
      </c>
      <c r="J45" s="678"/>
      <c r="K45" s="680"/>
      <c r="L45" s="565" t="s">
        <v>952</v>
      </c>
      <c r="M45" s="560" t="s">
        <v>1415</v>
      </c>
      <c r="N45" s="565" t="s">
        <v>5</v>
      </c>
      <c r="O45" s="565" t="s">
        <v>958</v>
      </c>
      <c r="P45" s="560" t="s">
        <v>1414</v>
      </c>
      <c r="Q45" s="307" t="s">
        <v>57</v>
      </c>
      <c r="R45" s="681"/>
      <c r="S45" s="37">
        <v>0.7</v>
      </c>
      <c r="T45" s="38">
        <v>0.7</v>
      </c>
      <c r="U45" s="38">
        <v>0.7</v>
      </c>
      <c r="V45" s="39">
        <v>0.7</v>
      </c>
      <c r="W45" s="671"/>
      <c r="X45" s="687"/>
      <c r="Y45" s="687"/>
      <c r="Z45" s="685"/>
      <c r="AA45" s="382" t="s">
        <v>1413</v>
      </c>
      <c r="AB45" s="549" t="s">
        <v>41</v>
      </c>
      <c r="AC45" s="549" t="s">
        <v>32</v>
      </c>
      <c r="AD45" s="549" t="s">
        <v>42</v>
      </c>
      <c r="AE45" s="561" t="s">
        <v>43</v>
      </c>
      <c r="AF45" s="642"/>
      <c r="AG45" s="565" t="s">
        <v>1398</v>
      </c>
      <c r="AH45" s="551" t="s">
        <v>1405</v>
      </c>
    </row>
    <row r="46" spans="1:34" s="300" customFormat="1" ht="102.75" customHeight="1" x14ac:dyDescent="0.25">
      <c r="A46" s="641"/>
      <c r="B46" s="642"/>
      <c r="C46" s="642"/>
      <c r="D46" s="597"/>
      <c r="E46" s="597"/>
      <c r="F46" s="597"/>
      <c r="G46" s="597"/>
      <c r="H46" s="688"/>
      <c r="I46" s="352" t="s">
        <v>836</v>
      </c>
      <c r="J46" s="679"/>
      <c r="K46" s="680"/>
      <c r="L46" s="565" t="s">
        <v>953</v>
      </c>
      <c r="M46" s="565" t="s">
        <v>1106</v>
      </c>
      <c r="N46" s="565" t="s">
        <v>5</v>
      </c>
      <c r="O46" s="366" t="s">
        <v>959</v>
      </c>
      <c r="P46" s="565" t="s">
        <v>849</v>
      </c>
      <c r="Q46" s="307" t="s">
        <v>38</v>
      </c>
      <c r="R46" s="681"/>
      <c r="S46" s="78">
        <v>4</v>
      </c>
      <c r="T46" s="564">
        <v>8</v>
      </c>
      <c r="U46" s="564">
        <v>8</v>
      </c>
      <c r="V46" s="79">
        <v>8</v>
      </c>
      <c r="W46" s="671"/>
      <c r="X46" s="687"/>
      <c r="Y46" s="687"/>
      <c r="Z46" s="685"/>
      <c r="AA46" s="578" t="s">
        <v>689</v>
      </c>
      <c r="AB46" s="549" t="s">
        <v>41</v>
      </c>
      <c r="AC46" s="549" t="s">
        <v>32</v>
      </c>
      <c r="AD46" s="549" t="s">
        <v>302</v>
      </c>
      <c r="AE46" s="552" t="s">
        <v>43</v>
      </c>
      <c r="AF46" s="642"/>
      <c r="AG46" s="565" t="s">
        <v>1398</v>
      </c>
      <c r="AH46" s="551" t="s">
        <v>1398</v>
      </c>
    </row>
    <row r="47" spans="1:34" s="492" customFormat="1" ht="165" customHeight="1" x14ac:dyDescent="0.2">
      <c r="A47" s="596" t="s">
        <v>105</v>
      </c>
      <c r="B47" s="597" t="s">
        <v>106</v>
      </c>
      <c r="C47" s="597" t="s">
        <v>307</v>
      </c>
      <c r="D47" s="595" t="s">
        <v>1378</v>
      </c>
      <c r="E47" s="595" t="s">
        <v>805</v>
      </c>
      <c r="F47" s="595" t="s">
        <v>682</v>
      </c>
      <c r="G47" s="595" t="s">
        <v>683</v>
      </c>
      <c r="H47" s="658" t="s">
        <v>5</v>
      </c>
      <c r="I47" s="351" t="s">
        <v>837</v>
      </c>
      <c r="J47" s="559" t="s">
        <v>931</v>
      </c>
      <c r="K47" s="560" t="s">
        <v>684</v>
      </c>
      <c r="L47" s="560" t="s">
        <v>932</v>
      </c>
      <c r="M47" s="560" t="s">
        <v>1138</v>
      </c>
      <c r="N47" s="560" t="s">
        <v>5</v>
      </c>
      <c r="O47" s="560" t="s">
        <v>933</v>
      </c>
      <c r="P47" s="560" t="s">
        <v>1299</v>
      </c>
      <c r="Q47" s="564" t="s">
        <v>57</v>
      </c>
      <c r="R47" s="77" t="s">
        <v>39</v>
      </c>
      <c r="S47" s="37">
        <v>1</v>
      </c>
      <c r="T47" s="564" t="s">
        <v>40</v>
      </c>
      <c r="U47" s="564" t="s">
        <v>40</v>
      </c>
      <c r="V47" s="79" t="s">
        <v>40</v>
      </c>
      <c r="W47" s="40">
        <v>0</v>
      </c>
      <c r="X47" s="41">
        <v>0</v>
      </c>
      <c r="Y47" s="41">
        <v>0</v>
      </c>
      <c r="Z47" s="387">
        <v>0</v>
      </c>
      <c r="AA47" s="382" t="s">
        <v>1139</v>
      </c>
      <c r="AB47" s="547" t="s">
        <v>41</v>
      </c>
      <c r="AC47" s="547" t="s">
        <v>32</v>
      </c>
      <c r="AD47" s="556" t="s">
        <v>42</v>
      </c>
      <c r="AE47" s="552" t="s">
        <v>43</v>
      </c>
      <c r="AF47" s="547" t="s">
        <v>1140</v>
      </c>
      <c r="AG47" s="547" t="s">
        <v>1382</v>
      </c>
      <c r="AH47" s="558" t="s">
        <v>1383</v>
      </c>
    </row>
    <row r="48" spans="1:34" s="301" customFormat="1" ht="153.75" customHeight="1" x14ac:dyDescent="0.2">
      <c r="A48" s="596"/>
      <c r="B48" s="597"/>
      <c r="C48" s="597"/>
      <c r="D48" s="595"/>
      <c r="E48" s="595"/>
      <c r="F48" s="595"/>
      <c r="G48" s="595"/>
      <c r="H48" s="658"/>
      <c r="I48" s="351" t="s">
        <v>838</v>
      </c>
      <c r="J48" s="559" t="s">
        <v>926</v>
      </c>
      <c r="K48" s="560" t="s">
        <v>927</v>
      </c>
      <c r="L48" s="560" t="s">
        <v>928</v>
      </c>
      <c r="M48" s="560" t="s">
        <v>1108</v>
      </c>
      <c r="N48" s="560" t="s">
        <v>5</v>
      </c>
      <c r="O48" s="560" t="s">
        <v>1202</v>
      </c>
      <c r="P48" s="560" t="s">
        <v>1300</v>
      </c>
      <c r="Q48" s="564" t="s">
        <v>57</v>
      </c>
      <c r="R48" s="77" t="s">
        <v>39</v>
      </c>
      <c r="S48" s="37">
        <v>1</v>
      </c>
      <c r="T48" s="564" t="s">
        <v>40</v>
      </c>
      <c r="U48" s="564" t="s">
        <v>40</v>
      </c>
      <c r="V48" s="79" t="s">
        <v>40</v>
      </c>
      <c r="W48" s="40">
        <v>0</v>
      </c>
      <c r="X48" s="41">
        <v>0</v>
      </c>
      <c r="Y48" s="41">
        <v>0</v>
      </c>
      <c r="Z48" s="387">
        <v>0</v>
      </c>
      <c r="AA48" s="382" t="s">
        <v>929</v>
      </c>
      <c r="AB48" s="549" t="s">
        <v>41</v>
      </c>
      <c r="AC48" s="549" t="s">
        <v>32</v>
      </c>
      <c r="AD48" s="554" t="s">
        <v>42</v>
      </c>
      <c r="AE48" s="552" t="s">
        <v>43</v>
      </c>
      <c r="AF48" s="547" t="s">
        <v>930</v>
      </c>
      <c r="AG48" s="565" t="s">
        <v>1398</v>
      </c>
      <c r="AH48" s="571" t="s">
        <v>1402</v>
      </c>
    </row>
    <row r="49" spans="1:34" s="301" customFormat="1" ht="170.25" customHeight="1" x14ac:dyDescent="0.2">
      <c r="A49" s="548" t="s">
        <v>105</v>
      </c>
      <c r="B49" s="549" t="s">
        <v>297</v>
      </c>
      <c r="C49" s="549" t="s">
        <v>312</v>
      </c>
      <c r="D49" s="549" t="s">
        <v>1378</v>
      </c>
      <c r="E49" s="549" t="s">
        <v>806</v>
      </c>
      <c r="F49" s="549" t="s">
        <v>1141</v>
      </c>
      <c r="G49" s="549" t="s">
        <v>1142</v>
      </c>
      <c r="H49" s="551" t="s">
        <v>32</v>
      </c>
      <c r="I49" s="355" t="s">
        <v>839</v>
      </c>
      <c r="J49" s="528" t="s">
        <v>314</v>
      </c>
      <c r="K49" s="565" t="s">
        <v>315</v>
      </c>
      <c r="L49" s="565" t="s">
        <v>316</v>
      </c>
      <c r="M49" s="565" t="s">
        <v>1110</v>
      </c>
      <c r="N49" s="565" t="s">
        <v>5</v>
      </c>
      <c r="O49" s="565" t="s">
        <v>1111</v>
      </c>
      <c r="P49" s="565" t="s">
        <v>1301</v>
      </c>
      <c r="Q49" s="564" t="s">
        <v>57</v>
      </c>
      <c r="R49" s="77" t="s">
        <v>39</v>
      </c>
      <c r="S49" s="37">
        <v>1</v>
      </c>
      <c r="T49" s="30">
        <v>1</v>
      </c>
      <c r="U49" s="30">
        <v>1</v>
      </c>
      <c r="V49" s="31">
        <v>1</v>
      </c>
      <c r="W49" s="563">
        <v>175882800</v>
      </c>
      <c r="X49" s="570">
        <f>+(W49*3%)+W49</f>
        <v>181159284</v>
      </c>
      <c r="Y49" s="570">
        <f t="shared" ref="Y49:Z49" si="2">+(X49*3%)+X49</f>
        <v>186594062.52000001</v>
      </c>
      <c r="Z49" s="568">
        <f t="shared" si="2"/>
        <v>192191884.39560002</v>
      </c>
      <c r="AA49" s="578" t="s">
        <v>317</v>
      </c>
      <c r="AB49" s="549" t="s">
        <v>318</v>
      </c>
      <c r="AC49" s="549" t="s">
        <v>32</v>
      </c>
      <c r="AD49" s="554" t="s">
        <v>42</v>
      </c>
      <c r="AE49" s="552" t="s">
        <v>43</v>
      </c>
      <c r="AF49" s="549" t="s">
        <v>319</v>
      </c>
      <c r="AG49" s="547" t="s">
        <v>1382</v>
      </c>
      <c r="AH49" s="558" t="s">
        <v>1383</v>
      </c>
    </row>
    <row r="50" spans="1:34" s="301" customFormat="1" ht="153.75" customHeight="1" x14ac:dyDescent="0.2">
      <c r="A50" s="548" t="s">
        <v>105</v>
      </c>
      <c r="B50" s="549" t="s">
        <v>297</v>
      </c>
      <c r="C50" s="549" t="s">
        <v>312</v>
      </c>
      <c r="D50" s="549" t="s">
        <v>1378</v>
      </c>
      <c r="E50" s="549" t="s">
        <v>807</v>
      </c>
      <c r="F50" s="549" t="s">
        <v>676</v>
      </c>
      <c r="G50" s="549" t="s">
        <v>678</v>
      </c>
      <c r="H50" s="551" t="s">
        <v>32</v>
      </c>
      <c r="I50" s="355" t="s">
        <v>840</v>
      </c>
      <c r="J50" s="528" t="s">
        <v>672</v>
      </c>
      <c r="K50" s="565" t="s">
        <v>671</v>
      </c>
      <c r="L50" s="565" t="s">
        <v>673</v>
      </c>
      <c r="M50" s="565" t="s">
        <v>1113</v>
      </c>
      <c r="N50" s="565" t="s">
        <v>5</v>
      </c>
      <c r="O50" s="565" t="s">
        <v>674</v>
      </c>
      <c r="P50" s="565" t="s">
        <v>1115</v>
      </c>
      <c r="Q50" s="307" t="s">
        <v>57</v>
      </c>
      <c r="R50" s="566" t="s">
        <v>39</v>
      </c>
      <c r="S50" s="29">
        <v>1</v>
      </c>
      <c r="T50" s="30">
        <v>1</v>
      </c>
      <c r="U50" s="30">
        <v>1</v>
      </c>
      <c r="V50" s="31">
        <v>1</v>
      </c>
      <c r="W50" s="671">
        <f>147084000+19151367</f>
        <v>166235367</v>
      </c>
      <c r="X50" s="687">
        <f>+(W50*3%)+W50</f>
        <v>171222428.00999999</v>
      </c>
      <c r="Y50" s="687">
        <f>+(X50*3%)+X50</f>
        <v>176359100.85029998</v>
      </c>
      <c r="Z50" s="685">
        <f>+(Y50*3%)+Y50</f>
        <v>181649873.87580898</v>
      </c>
      <c r="AA50" s="578" t="s">
        <v>677</v>
      </c>
      <c r="AB50" s="549" t="s">
        <v>679</v>
      </c>
      <c r="AC50" s="549" t="s">
        <v>32</v>
      </c>
      <c r="AD50" s="554" t="s">
        <v>42</v>
      </c>
      <c r="AE50" s="552" t="s">
        <v>43</v>
      </c>
      <c r="AF50" s="549" t="s">
        <v>675</v>
      </c>
      <c r="AG50" s="547" t="s">
        <v>1382</v>
      </c>
      <c r="AH50" s="558" t="s">
        <v>1406</v>
      </c>
    </row>
    <row r="51" spans="1:34" s="301" customFormat="1" ht="114.75" customHeight="1" x14ac:dyDescent="0.2">
      <c r="A51" s="548" t="s">
        <v>105</v>
      </c>
      <c r="B51" s="549" t="s">
        <v>297</v>
      </c>
      <c r="C51" s="549" t="s">
        <v>323</v>
      </c>
      <c r="D51" s="549" t="s">
        <v>1378</v>
      </c>
      <c r="E51" s="549" t="s">
        <v>808</v>
      </c>
      <c r="F51" s="549" t="s">
        <v>1143</v>
      </c>
      <c r="G51" s="549" t="s">
        <v>1144</v>
      </c>
      <c r="H51" s="551" t="s">
        <v>5</v>
      </c>
      <c r="I51" s="355" t="s">
        <v>841</v>
      </c>
      <c r="J51" s="528" t="s">
        <v>1145</v>
      </c>
      <c r="K51" s="565" t="s">
        <v>1146</v>
      </c>
      <c r="L51" s="565" t="s">
        <v>1144</v>
      </c>
      <c r="M51" s="565" t="s">
        <v>1147</v>
      </c>
      <c r="N51" s="565" t="s">
        <v>5</v>
      </c>
      <c r="O51" s="565" t="s">
        <v>1148</v>
      </c>
      <c r="P51" s="565" t="s">
        <v>1203</v>
      </c>
      <c r="Q51" s="307" t="s">
        <v>38</v>
      </c>
      <c r="R51" s="566" t="s">
        <v>39</v>
      </c>
      <c r="S51" s="12">
        <v>2</v>
      </c>
      <c r="T51" s="307">
        <v>2</v>
      </c>
      <c r="U51" s="307">
        <v>2</v>
      </c>
      <c r="V51" s="13">
        <v>2</v>
      </c>
      <c r="W51" s="671"/>
      <c r="X51" s="687"/>
      <c r="Y51" s="687"/>
      <c r="Z51" s="685"/>
      <c r="AA51" s="382" t="s">
        <v>1149</v>
      </c>
      <c r="AB51" s="547" t="s">
        <v>1150</v>
      </c>
      <c r="AC51" s="549" t="s">
        <v>32</v>
      </c>
      <c r="AD51" s="554" t="s">
        <v>42</v>
      </c>
      <c r="AE51" s="549" t="s">
        <v>1161</v>
      </c>
      <c r="AF51" s="547" t="s">
        <v>1151</v>
      </c>
      <c r="AG51" s="547" t="s">
        <v>1382</v>
      </c>
      <c r="AH51" s="558" t="s">
        <v>1406</v>
      </c>
    </row>
    <row r="52" spans="1:34" s="301" customFormat="1" ht="134.25" customHeight="1" x14ac:dyDescent="0.2">
      <c r="A52" s="596" t="s">
        <v>61</v>
      </c>
      <c r="B52" s="597" t="s">
        <v>707</v>
      </c>
      <c r="C52" s="597" t="s">
        <v>706</v>
      </c>
      <c r="D52" s="597" t="s">
        <v>1378</v>
      </c>
      <c r="E52" s="597" t="s">
        <v>809</v>
      </c>
      <c r="F52" s="549" t="s">
        <v>691</v>
      </c>
      <c r="G52" s="549" t="s">
        <v>704</v>
      </c>
      <c r="H52" s="551" t="s">
        <v>32</v>
      </c>
      <c r="I52" s="355" t="s">
        <v>842</v>
      </c>
      <c r="J52" s="528" t="s">
        <v>693</v>
      </c>
      <c r="K52" s="565" t="s">
        <v>703</v>
      </c>
      <c r="L52" s="565" t="s">
        <v>694</v>
      </c>
      <c r="M52" s="565" t="s">
        <v>695</v>
      </c>
      <c r="N52" s="565" t="s">
        <v>5</v>
      </c>
      <c r="O52" s="565" t="s">
        <v>696</v>
      </c>
      <c r="P52" s="565" t="s">
        <v>1302</v>
      </c>
      <c r="Q52" s="541" t="s">
        <v>57</v>
      </c>
      <c r="R52" s="566" t="s">
        <v>39</v>
      </c>
      <c r="S52" s="29">
        <v>0.8</v>
      </c>
      <c r="T52" s="30">
        <v>0.85</v>
      </c>
      <c r="U52" s="30">
        <v>0.9</v>
      </c>
      <c r="V52" s="31">
        <v>0.95</v>
      </c>
      <c r="W52" s="14" t="s">
        <v>40</v>
      </c>
      <c r="X52" s="15" t="s">
        <v>40</v>
      </c>
      <c r="Y52" s="15" t="s">
        <v>40</v>
      </c>
      <c r="Z52" s="386" t="s">
        <v>40</v>
      </c>
      <c r="AA52" s="382" t="s">
        <v>697</v>
      </c>
      <c r="AB52" s="547" t="s">
        <v>41</v>
      </c>
      <c r="AC52" s="549" t="s">
        <v>32</v>
      </c>
      <c r="AD52" s="554" t="s">
        <v>42</v>
      </c>
      <c r="AE52" s="552" t="s">
        <v>43</v>
      </c>
      <c r="AF52" s="547" t="s">
        <v>39</v>
      </c>
      <c r="AG52" s="547" t="s">
        <v>1382</v>
      </c>
      <c r="AH52" s="558" t="s">
        <v>1384</v>
      </c>
    </row>
    <row r="53" spans="1:34" s="301" customFormat="1" ht="109.5" customHeight="1" x14ac:dyDescent="0.2">
      <c r="A53" s="596"/>
      <c r="B53" s="597"/>
      <c r="C53" s="597"/>
      <c r="D53" s="597"/>
      <c r="E53" s="597"/>
      <c r="F53" s="549" t="s">
        <v>692</v>
      </c>
      <c r="G53" s="549" t="s">
        <v>705</v>
      </c>
      <c r="H53" s="551" t="s">
        <v>32</v>
      </c>
      <c r="I53" s="355" t="s">
        <v>843</v>
      </c>
      <c r="J53" s="528" t="s">
        <v>698</v>
      </c>
      <c r="K53" s="565" t="s">
        <v>699</v>
      </c>
      <c r="L53" s="565" t="s">
        <v>700</v>
      </c>
      <c r="M53" s="565" t="s">
        <v>709</v>
      </c>
      <c r="N53" s="565" t="s">
        <v>32</v>
      </c>
      <c r="O53" s="565" t="s">
        <v>701</v>
      </c>
      <c r="P53" s="560" t="s">
        <v>710</v>
      </c>
      <c r="Q53" s="541" t="s">
        <v>57</v>
      </c>
      <c r="R53" s="566" t="s">
        <v>39</v>
      </c>
      <c r="S53" s="29">
        <v>0.95</v>
      </c>
      <c r="T53" s="30">
        <v>0.95</v>
      </c>
      <c r="U53" s="30">
        <v>0.95</v>
      </c>
      <c r="V53" s="31">
        <v>0.95</v>
      </c>
      <c r="W53" s="14" t="s">
        <v>40</v>
      </c>
      <c r="X53" s="15" t="s">
        <v>40</v>
      </c>
      <c r="Y53" s="15" t="s">
        <v>40</v>
      </c>
      <c r="Z53" s="386" t="s">
        <v>40</v>
      </c>
      <c r="AA53" s="382" t="s">
        <v>708</v>
      </c>
      <c r="AB53" s="549" t="s">
        <v>702</v>
      </c>
      <c r="AC53" s="549" t="s">
        <v>5</v>
      </c>
      <c r="AD53" s="554" t="s">
        <v>42</v>
      </c>
      <c r="AE53" s="549" t="s">
        <v>72</v>
      </c>
      <c r="AF53" s="547" t="s">
        <v>39</v>
      </c>
      <c r="AG53" s="547" t="s">
        <v>1382</v>
      </c>
      <c r="AH53" s="558" t="s">
        <v>1384</v>
      </c>
    </row>
    <row r="54" spans="1:34" ht="90.75" customHeight="1" x14ac:dyDescent="0.2">
      <c r="A54" s="596" t="s">
        <v>326</v>
      </c>
      <c r="B54" s="597" t="s">
        <v>297</v>
      </c>
      <c r="C54" s="597" t="s">
        <v>327</v>
      </c>
      <c r="D54" s="595" t="s">
        <v>1378</v>
      </c>
      <c r="E54" s="595" t="s">
        <v>810</v>
      </c>
      <c r="F54" s="595" t="s">
        <v>329</v>
      </c>
      <c r="G54" s="595" t="s">
        <v>330</v>
      </c>
      <c r="H54" s="658" t="s">
        <v>32</v>
      </c>
      <c r="I54" s="351" t="s">
        <v>844</v>
      </c>
      <c r="J54" s="659" t="s">
        <v>331</v>
      </c>
      <c r="K54" s="660" t="s">
        <v>332</v>
      </c>
      <c r="L54" s="660" t="s">
        <v>333</v>
      </c>
      <c r="M54" s="660" t="s">
        <v>334</v>
      </c>
      <c r="N54" s="660" t="s">
        <v>32</v>
      </c>
      <c r="O54" s="660" t="s">
        <v>335</v>
      </c>
      <c r="P54" s="660" t="s">
        <v>336</v>
      </c>
      <c r="Q54" s="674" t="s">
        <v>57</v>
      </c>
      <c r="R54" s="675">
        <v>0.94</v>
      </c>
      <c r="S54" s="676">
        <v>0.96</v>
      </c>
      <c r="T54" s="672">
        <v>0.98</v>
      </c>
      <c r="U54" s="672">
        <v>0.99</v>
      </c>
      <c r="V54" s="673">
        <v>1</v>
      </c>
      <c r="W54" s="670">
        <v>234036000</v>
      </c>
      <c r="X54" s="686">
        <v>243397440</v>
      </c>
      <c r="Y54" s="686">
        <v>252819993.59999999</v>
      </c>
      <c r="Z54" s="684">
        <v>262306105.34399998</v>
      </c>
      <c r="AA54" s="382" t="s">
        <v>337</v>
      </c>
      <c r="AB54" s="547" t="s">
        <v>338</v>
      </c>
      <c r="AC54" s="549" t="s">
        <v>32</v>
      </c>
      <c r="AD54" s="554" t="s">
        <v>42</v>
      </c>
      <c r="AE54" s="552" t="s">
        <v>43</v>
      </c>
      <c r="AF54" s="547" t="s">
        <v>39</v>
      </c>
      <c r="AG54" s="547" t="s">
        <v>1396</v>
      </c>
      <c r="AH54" s="558" t="s">
        <v>1397</v>
      </c>
    </row>
    <row r="55" spans="1:34" ht="116.25" customHeight="1" x14ac:dyDescent="0.2">
      <c r="A55" s="596"/>
      <c r="B55" s="597"/>
      <c r="C55" s="597"/>
      <c r="D55" s="595"/>
      <c r="E55" s="595"/>
      <c r="F55" s="595"/>
      <c r="G55" s="595"/>
      <c r="H55" s="658"/>
      <c r="I55" s="351" t="s">
        <v>845</v>
      </c>
      <c r="J55" s="659"/>
      <c r="K55" s="660"/>
      <c r="L55" s="660"/>
      <c r="M55" s="660"/>
      <c r="N55" s="660"/>
      <c r="O55" s="660"/>
      <c r="P55" s="660"/>
      <c r="Q55" s="674"/>
      <c r="R55" s="675"/>
      <c r="S55" s="676"/>
      <c r="T55" s="672"/>
      <c r="U55" s="672"/>
      <c r="V55" s="673"/>
      <c r="W55" s="670"/>
      <c r="X55" s="686"/>
      <c r="Y55" s="686"/>
      <c r="Z55" s="684"/>
      <c r="AA55" s="578" t="s">
        <v>341</v>
      </c>
      <c r="AB55" s="549" t="s">
        <v>342</v>
      </c>
      <c r="AC55" s="549" t="s">
        <v>32</v>
      </c>
      <c r="AD55" s="554" t="s">
        <v>42</v>
      </c>
      <c r="AE55" s="549" t="s">
        <v>343</v>
      </c>
      <c r="AF55" s="547" t="s">
        <v>39</v>
      </c>
      <c r="AG55" s="547" t="s">
        <v>1396</v>
      </c>
      <c r="AH55" s="558" t="s">
        <v>1397</v>
      </c>
    </row>
    <row r="56" spans="1:34" ht="119.25" customHeight="1" x14ac:dyDescent="0.2">
      <c r="A56" s="596"/>
      <c r="B56" s="597"/>
      <c r="C56" s="597"/>
      <c r="D56" s="595"/>
      <c r="E56" s="595"/>
      <c r="F56" s="595"/>
      <c r="G56" s="595"/>
      <c r="H56" s="658"/>
      <c r="I56" s="351" t="s">
        <v>846</v>
      </c>
      <c r="J56" s="659"/>
      <c r="K56" s="660"/>
      <c r="L56" s="660"/>
      <c r="M56" s="660"/>
      <c r="N56" s="660"/>
      <c r="O56" s="660"/>
      <c r="P56" s="660"/>
      <c r="Q56" s="674"/>
      <c r="R56" s="675"/>
      <c r="S56" s="676"/>
      <c r="T56" s="672"/>
      <c r="U56" s="672"/>
      <c r="V56" s="673"/>
      <c r="W56" s="670"/>
      <c r="X56" s="686"/>
      <c r="Y56" s="686"/>
      <c r="Z56" s="684"/>
      <c r="AA56" s="578" t="s">
        <v>344</v>
      </c>
      <c r="AB56" s="549" t="s">
        <v>345</v>
      </c>
      <c r="AC56" s="549" t="s">
        <v>32</v>
      </c>
      <c r="AD56" s="554" t="s">
        <v>42</v>
      </c>
      <c r="AE56" s="549" t="s">
        <v>343</v>
      </c>
      <c r="AF56" s="547" t="s">
        <v>39</v>
      </c>
      <c r="AG56" s="547" t="s">
        <v>1396</v>
      </c>
      <c r="AH56" s="558" t="s">
        <v>1397</v>
      </c>
    </row>
    <row r="57" spans="1:34" ht="13.5" thickBot="1" x14ac:dyDescent="0.25">
      <c r="A57" s="358"/>
      <c r="B57" s="579"/>
      <c r="C57" s="581"/>
      <c r="D57" s="579"/>
      <c r="E57" s="581"/>
      <c r="F57" s="581"/>
      <c r="G57" s="581"/>
      <c r="H57" s="580"/>
      <c r="I57" s="357"/>
      <c r="J57" s="545"/>
      <c r="K57" s="359"/>
      <c r="L57" s="359"/>
      <c r="M57" s="359"/>
      <c r="N57" s="367"/>
      <c r="O57" s="359"/>
      <c r="P57" s="359"/>
      <c r="Q57" s="81"/>
      <c r="R57" s="83"/>
      <c r="S57" s="80"/>
      <c r="T57" s="81"/>
      <c r="U57" s="81"/>
      <c r="V57" s="84"/>
      <c r="W57" s="85"/>
      <c r="X57" s="86"/>
      <c r="Y57" s="86"/>
      <c r="Z57" s="392"/>
      <c r="AA57" s="393"/>
      <c r="AB57" s="581"/>
      <c r="AC57" s="579"/>
      <c r="AD57" s="581"/>
      <c r="AE57" s="581"/>
      <c r="AF57" s="581"/>
      <c r="AG57" s="581"/>
      <c r="AH57" s="582"/>
    </row>
    <row r="58" spans="1:34" ht="13.5" thickBot="1" x14ac:dyDescent="0.25">
      <c r="D58" s="301"/>
      <c r="E58" s="301"/>
      <c r="F58" s="301"/>
      <c r="G58" s="301"/>
      <c r="H58" s="301"/>
      <c r="J58" s="301"/>
      <c r="N58" s="301"/>
      <c r="AC58" s="301"/>
    </row>
    <row r="59" spans="1:34" ht="43.5" customHeight="1" x14ac:dyDescent="0.2">
      <c r="A59" s="498" t="s">
        <v>346</v>
      </c>
      <c r="B59" s="682" t="s">
        <v>347</v>
      </c>
      <c r="C59" s="682"/>
      <c r="D59" s="682"/>
      <c r="E59" s="682"/>
      <c r="F59" s="682"/>
      <c r="G59" s="682"/>
      <c r="H59" s="683"/>
      <c r="I59" s="500"/>
      <c r="J59" s="503" t="s">
        <v>355</v>
      </c>
      <c r="K59" s="665" t="s">
        <v>1188</v>
      </c>
      <c r="L59" s="665"/>
      <c r="M59" s="665"/>
      <c r="N59" s="665"/>
      <c r="O59" s="665"/>
      <c r="P59" s="665"/>
      <c r="Q59" s="665"/>
      <c r="R59" s="665"/>
      <c r="S59" s="665"/>
      <c r="T59" s="665"/>
      <c r="U59" s="665"/>
      <c r="V59" s="665"/>
      <c r="W59" s="665"/>
      <c r="X59" s="665"/>
      <c r="Y59" s="665"/>
      <c r="Z59" s="665"/>
      <c r="AA59" s="665"/>
      <c r="AB59" s="665"/>
      <c r="AC59" s="665"/>
      <c r="AD59" s="665"/>
      <c r="AE59" s="665"/>
      <c r="AF59" s="665"/>
      <c r="AG59" s="665"/>
      <c r="AH59" s="666"/>
    </row>
    <row r="60" spans="1:34" ht="43.5" customHeight="1" x14ac:dyDescent="0.2">
      <c r="A60" s="499" t="s">
        <v>348</v>
      </c>
      <c r="B60" s="661" t="s">
        <v>349</v>
      </c>
      <c r="C60" s="661"/>
      <c r="D60" s="661"/>
      <c r="E60" s="661"/>
      <c r="F60" s="661"/>
      <c r="G60" s="661"/>
      <c r="H60" s="662"/>
      <c r="I60" s="500"/>
      <c r="J60" s="501" t="s">
        <v>1192</v>
      </c>
      <c r="K60" s="661" t="s">
        <v>1189</v>
      </c>
      <c r="L60" s="661"/>
      <c r="M60" s="661"/>
      <c r="N60" s="661"/>
      <c r="O60" s="661"/>
      <c r="P60" s="661"/>
      <c r="Q60" s="661"/>
      <c r="R60" s="661"/>
      <c r="S60" s="661"/>
      <c r="T60" s="661"/>
      <c r="U60" s="661"/>
      <c r="V60" s="661"/>
      <c r="W60" s="661"/>
      <c r="X60" s="661"/>
      <c r="Y60" s="661"/>
      <c r="Z60" s="661"/>
      <c r="AA60" s="661"/>
      <c r="AB60" s="661"/>
      <c r="AC60" s="661"/>
      <c r="AD60" s="661"/>
      <c r="AE60" s="661"/>
      <c r="AF60" s="661"/>
      <c r="AG60" s="661"/>
      <c r="AH60" s="662"/>
    </row>
    <row r="61" spans="1:34" ht="53.25" customHeight="1" x14ac:dyDescent="0.2">
      <c r="A61" s="656" t="s">
        <v>350</v>
      </c>
      <c r="B61" s="661" t="s">
        <v>1373</v>
      </c>
      <c r="C61" s="661"/>
      <c r="D61" s="661"/>
      <c r="E61" s="661"/>
      <c r="F61" s="661"/>
      <c r="G61" s="661"/>
      <c r="H61" s="662"/>
      <c r="I61" s="500"/>
      <c r="J61" s="501" t="s">
        <v>1193</v>
      </c>
      <c r="K61" s="661" t="s">
        <v>1190</v>
      </c>
      <c r="L61" s="661"/>
      <c r="M61" s="661"/>
      <c r="N61" s="661"/>
      <c r="O61" s="661"/>
      <c r="P61" s="661"/>
      <c r="Q61" s="661"/>
      <c r="R61" s="661"/>
      <c r="S61" s="661"/>
      <c r="T61" s="661"/>
      <c r="U61" s="661"/>
      <c r="V61" s="661"/>
      <c r="W61" s="661"/>
      <c r="X61" s="661"/>
      <c r="Y61" s="661"/>
      <c r="Z61" s="661"/>
      <c r="AA61" s="661"/>
      <c r="AB61" s="661"/>
      <c r="AC61" s="661"/>
      <c r="AD61" s="661"/>
      <c r="AE61" s="661"/>
      <c r="AF61" s="661"/>
      <c r="AG61" s="661"/>
      <c r="AH61" s="662"/>
    </row>
    <row r="62" spans="1:34" ht="46.5" customHeight="1" x14ac:dyDescent="0.2">
      <c r="A62" s="656"/>
      <c r="B62" s="661" t="s">
        <v>1374</v>
      </c>
      <c r="C62" s="661"/>
      <c r="D62" s="661"/>
      <c r="E62" s="661"/>
      <c r="F62" s="661"/>
      <c r="G62" s="661"/>
      <c r="H62" s="662"/>
      <c r="I62" s="500"/>
      <c r="J62" s="501" t="s">
        <v>1194</v>
      </c>
      <c r="K62" s="661" t="s">
        <v>1191</v>
      </c>
      <c r="L62" s="661"/>
      <c r="M62" s="661"/>
      <c r="N62" s="661"/>
      <c r="O62" s="661"/>
      <c r="P62" s="661"/>
      <c r="Q62" s="661"/>
      <c r="R62" s="661"/>
      <c r="S62" s="661"/>
      <c r="T62" s="661"/>
      <c r="U62" s="661"/>
      <c r="V62" s="661"/>
      <c r="W62" s="661"/>
      <c r="X62" s="661"/>
      <c r="Y62" s="661"/>
      <c r="Z62" s="661"/>
      <c r="AA62" s="661"/>
      <c r="AB62" s="661"/>
      <c r="AC62" s="661"/>
      <c r="AD62" s="661"/>
      <c r="AE62" s="661"/>
      <c r="AF62" s="661"/>
      <c r="AG62" s="661"/>
      <c r="AH62" s="662"/>
    </row>
    <row r="63" spans="1:34" ht="44.25" customHeight="1" thickBot="1" x14ac:dyDescent="0.25">
      <c r="A63" s="656"/>
      <c r="B63" s="661" t="s">
        <v>1376</v>
      </c>
      <c r="C63" s="661"/>
      <c r="D63" s="661"/>
      <c r="E63" s="661"/>
      <c r="F63" s="661"/>
      <c r="G63" s="661"/>
      <c r="H63" s="662"/>
      <c r="I63" s="500"/>
      <c r="J63" s="502" t="s">
        <v>1372</v>
      </c>
      <c r="K63" s="663" t="s">
        <v>1437</v>
      </c>
      <c r="L63" s="663"/>
      <c r="M63" s="663"/>
      <c r="N63" s="663"/>
      <c r="O63" s="663"/>
      <c r="P63" s="663"/>
      <c r="Q63" s="663"/>
      <c r="R63" s="663"/>
      <c r="S63" s="663"/>
      <c r="T63" s="663"/>
      <c r="U63" s="663"/>
      <c r="V63" s="663"/>
      <c r="W63" s="663"/>
      <c r="X63" s="663"/>
      <c r="Y63" s="663"/>
      <c r="Z63" s="663"/>
      <c r="AA63" s="663"/>
      <c r="AB63" s="663"/>
      <c r="AC63" s="663"/>
      <c r="AD63" s="663"/>
      <c r="AE63" s="663"/>
      <c r="AF63" s="663"/>
      <c r="AG63" s="663"/>
      <c r="AH63" s="664"/>
    </row>
    <row r="64" spans="1:34" ht="43.5" customHeight="1" x14ac:dyDescent="0.2">
      <c r="A64" s="656"/>
      <c r="B64" s="661" t="s">
        <v>1377</v>
      </c>
      <c r="C64" s="661"/>
      <c r="D64" s="661"/>
      <c r="E64" s="661"/>
      <c r="F64" s="661"/>
      <c r="G64" s="661"/>
      <c r="H64" s="662"/>
      <c r="I64" s="500"/>
      <c r="J64" s="500"/>
      <c r="K64" s="500"/>
      <c r="L64" s="500"/>
      <c r="M64" s="495"/>
      <c r="N64" s="495"/>
      <c r="O64" s="495"/>
      <c r="P64" s="495"/>
      <c r="Q64" s="495"/>
      <c r="R64" s="495"/>
      <c r="S64" s="495"/>
      <c r="T64" s="495"/>
      <c r="U64" s="495"/>
      <c r="V64" s="495"/>
      <c r="W64" s="495"/>
      <c r="X64" s="495"/>
      <c r="Y64" s="495"/>
      <c r="Z64" s="495"/>
      <c r="AA64" s="495"/>
      <c r="AB64" s="495"/>
      <c r="AC64" s="495"/>
      <c r="AD64" s="495"/>
      <c r="AE64" s="495"/>
      <c r="AF64" s="495"/>
      <c r="AG64" s="495"/>
      <c r="AH64" s="495"/>
    </row>
    <row r="65" spans="1:34" ht="43.5" customHeight="1" thickBot="1" x14ac:dyDescent="0.25">
      <c r="A65" s="657"/>
      <c r="B65" s="663" t="s">
        <v>1375</v>
      </c>
      <c r="C65" s="663"/>
      <c r="D65" s="663"/>
      <c r="E65" s="663"/>
      <c r="F65" s="663"/>
      <c r="G65" s="663"/>
      <c r="H65" s="664"/>
      <c r="I65" s="500"/>
      <c r="J65" s="500"/>
      <c r="K65" s="500"/>
      <c r="L65" s="500"/>
      <c r="M65" s="495"/>
      <c r="N65" s="495"/>
      <c r="O65" s="495"/>
      <c r="P65" s="495"/>
      <c r="Q65" s="495"/>
      <c r="R65" s="495"/>
      <c r="S65" s="495"/>
      <c r="T65" s="495"/>
      <c r="U65" s="495"/>
      <c r="V65" s="495"/>
      <c r="W65" s="495"/>
      <c r="X65" s="495"/>
      <c r="Y65" s="495"/>
      <c r="Z65" s="495"/>
      <c r="AA65" s="495"/>
      <c r="AB65" s="495"/>
      <c r="AC65" s="495"/>
      <c r="AD65" s="495"/>
      <c r="AE65" s="495"/>
      <c r="AF65" s="495"/>
      <c r="AG65" s="495"/>
      <c r="AH65" s="495"/>
    </row>
    <row r="66" spans="1:34" ht="19.5" customHeight="1" x14ac:dyDescent="0.2">
      <c r="D66" s="496"/>
      <c r="E66" s="497"/>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row>
  </sheetData>
  <autoFilter ref="A8:AK57" xr:uid="{00000000-0001-0000-0000-000000000000}"/>
  <mergeCells count="177">
    <mergeCell ref="K62:AH62"/>
    <mergeCell ref="K63:AH63"/>
    <mergeCell ref="H26:H27"/>
    <mergeCell ref="B59:H59"/>
    <mergeCell ref="M54:M56"/>
    <mergeCell ref="F54:F56"/>
    <mergeCell ref="Z54:Z56"/>
    <mergeCell ref="Z50:Z51"/>
    <mergeCell ref="Z41:Z46"/>
    <mergeCell ref="E52:E53"/>
    <mergeCell ref="X54:X56"/>
    <mergeCell ref="Y54:Y56"/>
    <mergeCell ref="F41:F46"/>
    <mergeCell ref="X50:X51"/>
    <mergeCell ref="Y50:Y51"/>
    <mergeCell ref="X41:X46"/>
    <mergeCell ref="G47:G48"/>
    <mergeCell ref="B47:B48"/>
    <mergeCell ref="C47:C48"/>
    <mergeCell ref="AF41:AF46"/>
    <mergeCell ref="G41:G46"/>
    <mergeCell ref="H41:H46"/>
    <mergeCell ref="B54:B56"/>
    <mergeCell ref="Y41:Y46"/>
    <mergeCell ref="J21:J22"/>
    <mergeCell ref="K21:K22"/>
    <mergeCell ref="L21:L22"/>
    <mergeCell ref="M21:M22"/>
    <mergeCell ref="N21:N22"/>
    <mergeCell ref="O21:O22"/>
    <mergeCell ref="P21:P22"/>
    <mergeCell ref="Q21:Q22"/>
    <mergeCell ref="W54:W56"/>
    <mergeCell ref="W50:W51"/>
    <mergeCell ref="T54:T56"/>
    <mergeCell ref="U54:U56"/>
    <mergeCell ref="V54:V56"/>
    <mergeCell ref="N54:N56"/>
    <mergeCell ref="O54:O56"/>
    <mergeCell ref="P54:P56"/>
    <mergeCell ref="Q54:Q56"/>
    <mergeCell ref="R54:R56"/>
    <mergeCell ref="S54:S56"/>
    <mergeCell ref="J41:J46"/>
    <mergeCell ref="K41:K46"/>
    <mergeCell ref="R41:R46"/>
    <mergeCell ref="W41:W46"/>
    <mergeCell ref="A61:A65"/>
    <mergeCell ref="G54:G56"/>
    <mergeCell ref="H54:H56"/>
    <mergeCell ref="J54:J56"/>
    <mergeCell ref="K54:K56"/>
    <mergeCell ref="L54:L56"/>
    <mergeCell ref="H47:H48"/>
    <mergeCell ref="B60:H60"/>
    <mergeCell ref="B61:H61"/>
    <mergeCell ref="B62:H62"/>
    <mergeCell ref="B63:H63"/>
    <mergeCell ref="B64:H64"/>
    <mergeCell ref="B65:H65"/>
    <mergeCell ref="K59:AH59"/>
    <mergeCell ref="K60:AH60"/>
    <mergeCell ref="K61:AH61"/>
    <mergeCell ref="D47:D48"/>
    <mergeCell ref="E47:E48"/>
    <mergeCell ref="F47:F48"/>
    <mergeCell ref="A52:A53"/>
    <mergeCell ref="B52:B53"/>
    <mergeCell ref="C52:C53"/>
    <mergeCell ref="D52:D53"/>
    <mergeCell ref="A47:A48"/>
    <mergeCell ref="A29:A31"/>
    <mergeCell ref="B29:B31"/>
    <mergeCell ref="C29:C31"/>
    <mergeCell ref="D29:D31"/>
    <mergeCell ref="E29:E31"/>
    <mergeCell ref="C32:C35"/>
    <mergeCell ref="D32:D35"/>
    <mergeCell ref="E32:E35"/>
    <mergeCell ref="F36:F39"/>
    <mergeCell ref="F32:F34"/>
    <mergeCell ref="A32:A35"/>
    <mergeCell ref="B32:B35"/>
    <mergeCell ref="C54:C56"/>
    <mergeCell ref="D54:D56"/>
    <mergeCell ref="E54:E56"/>
    <mergeCell ref="A36:A39"/>
    <mergeCell ref="B36:B39"/>
    <mergeCell ref="C36:C39"/>
    <mergeCell ref="D36:D39"/>
    <mergeCell ref="E36:E39"/>
    <mergeCell ref="A54:A56"/>
    <mergeCell ref="A41:A46"/>
    <mergeCell ref="B41:B46"/>
    <mergeCell ref="C41:C46"/>
    <mergeCell ref="D41:D46"/>
    <mergeCell ref="E41:E46"/>
    <mergeCell ref="C11:C13"/>
    <mergeCell ref="D11:D13"/>
    <mergeCell ref="E11:E13"/>
    <mergeCell ref="A11:A13"/>
    <mergeCell ref="B11:B13"/>
    <mergeCell ref="C17:C20"/>
    <mergeCell ref="D17:D20"/>
    <mergeCell ref="E17:E20"/>
    <mergeCell ref="A9:A10"/>
    <mergeCell ref="B9:B10"/>
    <mergeCell ref="C9:C10"/>
    <mergeCell ref="D9:D10"/>
    <mergeCell ref="E9:E10"/>
    <mergeCell ref="A15:A16"/>
    <mergeCell ref="B15:B16"/>
    <mergeCell ref="C15:C16"/>
    <mergeCell ref="D15:D16"/>
    <mergeCell ref="E15:E16"/>
    <mergeCell ref="F9:F10"/>
    <mergeCell ref="S7:V7"/>
    <mergeCell ref="W7:Z7"/>
    <mergeCell ref="AA7:AA8"/>
    <mergeCell ref="M7:M8"/>
    <mergeCell ref="N7:N8"/>
    <mergeCell ref="O7:O8"/>
    <mergeCell ref="P7:P8"/>
    <mergeCell ref="Q7:Q8"/>
    <mergeCell ref="R7:R8"/>
    <mergeCell ref="G9:G10"/>
    <mergeCell ref="H9:H10"/>
    <mergeCell ref="G7:G8"/>
    <mergeCell ref="H7:H8"/>
    <mergeCell ref="I7:I8"/>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F7:AF8"/>
    <mergeCell ref="K7:K8"/>
    <mergeCell ref="L7:L8"/>
    <mergeCell ref="I6:AH6"/>
    <mergeCell ref="B4:AH4"/>
    <mergeCell ref="A21:A22"/>
    <mergeCell ref="B21:B22"/>
    <mergeCell ref="C21:C22"/>
    <mergeCell ref="D21:D22"/>
    <mergeCell ref="E21:E22"/>
    <mergeCell ref="F21:F22"/>
    <mergeCell ref="G21:G22"/>
    <mergeCell ref="H21:H22"/>
    <mergeCell ref="H18:H20"/>
    <mergeCell ref="A17:A20"/>
    <mergeCell ref="B17:B20"/>
    <mergeCell ref="F18:F20"/>
    <mergeCell ref="G18:G20"/>
    <mergeCell ref="G26:G27"/>
    <mergeCell ref="A26:A27"/>
    <mergeCell ref="B26:B27"/>
    <mergeCell ref="C26:C27"/>
    <mergeCell ref="D26:D27"/>
    <mergeCell ref="E26:E27"/>
    <mergeCell ref="F26:F27"/>
    <mergeCell ref="F24:F25"/>
    <mergeCell ref="E24:E25"/>
    <mergeCell ref="D24:D25"/>
    <mergeCell ref="C24:C25"/>
    <mergeCell ref="A24:A25"/>
    <mergeCell ref="B24:B25"/>
  </mergeCells>
  <dataValidations count="2">
    <dataValidation type="list" allowBlank="1" showErrorMessage="1" sqref="H29" xr:uid="{A4D2031B-DD08-4EB1-807C-BB82C88FFECF}">
      <formula1>tipo</formula1>
    </dataValidation>
    <dataValidation type="list" allowBlank="1" showInputMessage="1" showErrorMessage="1" sqref="AC9:AC57 N57 H57 O29 H9 H11:H18 H28 H47 H21 N9:N21 H23:H26 H49:H54 N23:N54 H30:H41" xr:uid="{00000000-0002-0000-0000-000002000000}">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6"/>
  <sheetViews>
    <sheetView zoomScale="80" zoomScaleNormal="80" workbookViewId="0"/>
  </sheetViews>
  <sheetFormatPr baseColWidth="10" defaultColWidth="0" defaultRowHeight="0" customHeight="1" zeroHeight="1" x14ac:dyDescent="0.2"/>
  <cols>
    <col min="1" max="1" width="2.42578125" style="186" customWidth="1"/>
    <col min="2" max="2" width="4.42578125" style="186" customWidth="1"/>
    <col min="3" max="3" width="30" style="186" customWidth="1"/>
    <col min="4" max="4" width="21.85546875" style="186" customWidth="1"/>
    <col min="5" max="5" width="30" style="186" customWidth="1"/>
    <col min="6" max="6" width="23.42578125" style="186" customWidth="1"/>
    <col min="7" max="8" width="13.42578125" style="186" customWidth="1"/>
    <col min="9" max="9" width="14.28515625" style="186" customWidth="1"/>
    <col min="10" max="10" width="58.42578125" style="186" customWidth="1"/>
    <col min="11" max="13" width="6.85546875" style="186" customWidth="1"/>
    <col min="14" max="26" width="10.7109375" style="186" hidden="1" customWidth="1"/>
    <col min="27" max="16384" width="14.42578125" style="186" hidden="1"/>
  </cols>
  <sheetData>
    <row r="1" spans="1:25" ht="18.75" customHeight="1" x14ac:dyDescent="0.2">
      <c r="A1" s="182"/>
      <c r="B1" s="183"/>
      <c r="C1" s="183"/>
      <c r="D1" s="184"/>
      <c r="E1" s="184"/>
      <c r="F1" s="184"/>
      <c r="G1" s="184"/>
      <c r="H1" s="184"/>
      <c r="I1" s="184"/>
      <c r="J1" s="185"/>
      <c r="K1" s="182"/>
      <c r="L1" s="182"/>
      <c r="M1" s="182"/>
      <c r="N1" s="182"/>
      <c r="O1" s="182"/>
      <c r="P1" s="182"/>
      <c r="Q1" s="182"/>
      <c r="R1" s="182"/>
      <c r="S1" s="182"/>
      <c r="T1" s="182"/>
      <c r="U1" s="182"/>
      <c r="V1" s="182"/>
      <c r="W1" s="182"/>
      <c r="X1" s="182"/>
      <c r="Y1" s="182"/>
    </row>
    <row r="2" spans="1:25" ht="18.75" customHeight="1" x14ac:dyDescent="0.2">
      <c r="A2" s="182"/>
      <c r="B2" s="187"/>
      <c r="C2" s="819" t="s">
        <v>500</v>
      </c>
      <c r="D2" s="820"/>
      <c r="E2" s="820"/>
      <c r="F2" s="820"/>
      <c r="G2" s="820"/>
      <c r="H2" s="820"/>
      <c r="I2" s="820"/>
      <c r="J2" s="820"/>
      <c r="K2" s="182"/>
      <c r="L2" s="182"/>
      <c r="M2" s="182"/>
      <c r="N2" s="182"/>
      <c r="O2" s="182"/>
      <c r="P2" s="182"/>
      <c r="Q2" s="182"/>
      <c r="R2" s="182"/>
      <c r="S2" s="182"/>
      <c r="T2" s="182"/>
      <c r="U2" s="182"/>
      <c r="V2" s="182"/>
      <c r="W2" s="182"/>
      <c r="X2" s="182"/>
      <c r="Y2" s="182"/>
    </row>
    <row r="3" spans="1:25" ht="18.75" customHeight="1" x14ac:dyDescent="0.2">
      <c r="A3" s="182"/>
      <c r="B3" s="187"/>
      <c r="C3" s="188"/>
      <c r="D3" s="189"/>
      <c r="E3" s="188"/>
      <c r="F3" s="190"/>
      <c r="G3" s="191"/>
      <c r="H3" s="192"/>
      <c r="I3" s="192"/>
      <c r="J3" s="193"/>
      <c r="K3" s="182"/>
      <c r="L3" s="182"/>
      <c r="M3" s="182"/>
      <c r="N3" s="182"/>
      <c r="O3" s="182"/>
      <c r="P3" s="182"/>
      <c r="Q3" s="182"/>
      <c r="R3" s="182"/>
      <c r="S3" s="182"/>
      <c r="T3" s="182"/>
      <c r="U3" s="182"/>
      <c r="V3" s="182"/>
      <c r="W3" s="182"/>
      <c r="X3" s="182"/>
      <c r="Y3" s="182"/>
    </row>
    <row r="4" spans="1:25" ht="16.5" customHeight="1" x14ac:dyDescent="0.2">
      <c r="A4" s="182"/>
      <c r="B4" s="187"/>
      <c r="C4" s="189" t="s">
        <v>477</v>
      </c>
      <c r="D4" s="821" t="s">
        <v>501</v>
      </c>
      <c r="E4" s="820"/>
      <c r="F4" s="820"/>
      <c r="G4" s="820"/>
      <c r="H4" s="820"/>
      <c r="I4" s="820"/>
      <c r="J4" s="820"/>
      <c r="K4" s="182"/>
      <c r="L4" s="182"/>
      <c r="M4" s="182"/>
      <c r="N4" s="182"/>
      <c r="O4" s="182"/>
      <c r="P4" s="182"/>
      <c r="Q4" s="182"/>
      <c r="R4" s="182"/>
      <c r="S4" s="182"/>
      <c r="T4" s="182"/>
      <c r="U4" s="182"/>
      <c r="V4" s="182"/>
      <c r="W4" s="182"/>
      <c r="X4" s="182"/>
      <c r="Y4" s="182"/>
    </row>
    <row r="5" spans="1:25" ht="5.25" customHeight="1" x14ac:dyDescent="0.2">
      <c r="A5" s="182"/>
      <c r="B5" s="187"/>
      <c r="C5" s="194"/>
      <c r="D5" s="195"/>
      <c r="E5" s="188"/>
      <c r="F5" s="196"/>
      <c r="G5" s="196"/>
      <c r="H5" s="196"/>
      <c r="I5" s="196"/>
      <c r="J5" s="193"/>
      <c r="K5" s="182"/>
      <c r="L5" s="182"/>
      <c r="M5" s="182"/>
      <c r="N5" s="182"/>
      <c r="O5" s="182"/>
      <c r="P5" s="182"/>
      <c r="Q5" s="182"/>
      <c r="R5" s="182"/>
      <c r="S5" s="182"/>
      <c r="T5" s="182"/>
      <c r="U5" s="182"/>
      <c r="V5" s="182"/>
      <c r="W5" s="182"/>
      <c r="X5" s="182"/>
      <c r="Y5" s="182"/>
    </row>
    <row r="6" spans="1:25" ht="16.5" customHeight="1" x14ac:dyDescent="0.2">
      <c r="A6" s="182"/>
      <c r="B6" s="187"/>
      <c r="C6" s="189" t="s">
        <v>479</v>
      </c>
      <c r="D6" s="821">
        <v>1</v>
      </c>
      <c r="E6" s="820"/>
      <c r="F6" s="820"/>
      <c r="G6" s="820"/>
      <c r="H6" s="820"/>
      <c r="I6" s="197"/>
      <c r="J6" s="197"/>
      <c r="K6" s="182"/>
      <c r="L6" s="182"/>
      <c r="M6" s="182"/>
      <c r="N6" s="182"/>
      <c r="O6" s="182"/>
      <c r="P6" s="182"/>
      <c r="Q6" s="182"/>
      <c r="R6" s="182"/>
      <c r="S6" s="182"/>
      <c r="T6" s="182"/>
      <c r="U6" s="182"/>
      <c r="V6" s="182"/>
      <c r="W6" s="182"/>
      <c r="X6" s="182"/>
      <c r="Y6" s="182"/>
    </row>
    <row r="7" spans="1:25" ht="5.25" customHeight="1" x14ac:dyDescent="0.2">
      <c r="A7" s="182"/>
      <c r="B7" s="187"/>
      <c r="C7" s="198"/>
      <c r="D7" s="198"/>
      <c r="E7" s="198"/>
      <c r="F7" s="199"/>
      <c r="G7" s="199"/>
      <c r="H7" s="199"/>
      <c r="I7" s="199"/>
      <c r="J7" s="193"/>
      <c r="K7" s="182"/>
      <c r="L7" s="182"/>
      <c r="M7" s="182"/>
      <c r="N7" s="182"/>
      <c r="O7" s="182"/>
      <c r="P7" s="182"/>
      <c r="Q7" s="182"/>
      <c r="R7" s="182"/>
      <c r="S7" s="182"/>
      <c r="T7" s="182"/>
      <c r="U7" s="182"/>
      <c r="V7" s="182"/>
      <c r="W7" s="182"/>
      <c r="X7" s="182"/>
      <c r="Y7" s="182"/>
    </row>
    <row r="8" spans="1:25" ht="16.5" customHeight="1" x14ac:dyDescent="0.2">
      <c r="A8" s="182"/>
      <c r="B8" s="187"/>
      <c r="C8" s="189" t="s">
        <v>480</v>
      </c>
      <c r="D8" s="800">
        <v>44225</v>
      </c>
      <c r="E8" s="799"/>
      <c r="F8" s="799"/>
      <c r="G8" s="799"/>
      <c r="H8" s="799"/>
      <c r="I8" s="197"/>
      <c r="J8" s="197"/>
      <c r="K8" s="182"/>
      <c r="L8" s="182"/>
      <c r="M8" s="182"/>
      <c r="N8" s="182"/>
      <c r="O8" s="182"/>
      <c r="P8" s="182"/>
      <c r="Q8" s="182"/>
      <c r="R8" s="182"/>
      <c r="S8" s="182"/>
      <c r="T8" s="182"/>
      <c r="U8" s="182"/>
      <c r="V8" s="182"/>
      <c r="W8" s="182"/>
      <c r="X8" s="182"/>
      <c r="Y8" s="182"/>
    </row>
    <row r="9" spans="1:25" ht="8.25" customHeight="1" thickBot="1" x14ac:dyDescent="0.25">
      <c r="A9" s="182"/>
      <c r="B9" s="187"/>
      <c r="C9" s="200"/>
      <c r="D9" s="200"/>
      <c r="E9" s="200"/>
      <c r="F9" s="201"/>
      <c r="G9" s="201"/>
      <c r="H9" s="201"/>
      <c r="I9" s="201"/>
      <c r="J9" s="202"/>
      <c r="K9" s="182"/>
      <c r="L9" s="182"/>
      <c r="M9" s="182"/>
      <c r="N9" s="182"/>
      <c r="O9" s="182"/>
      <c r="P9" s="182"/>
      <c r="Q9" s="182"/>
      <c r="R9" s="182"/>
      <c r="S9" s="182"/>
      <c r="T9" s="182"/>
      <c r="U9" s="182"/>
      <c r="V9" s="182"/>
      <c r="W9" s="182"/>
      <c r="X9" s="182"/>
      <c r="Y9" s="182"/>
    </row>
    <row r="10" spans="1:25" ht="18" customHeight="1" x14ac:dyDescent="0.2">
      <c r="A10" s="182"/>
      <c r="B10" s="822" t="s">
        <v>357</v>
      </c>
      <c r="C10" s="823"/>
      <c r="D10" s="823"/>
      <c r="E10" s="823"/>
      <c r="F10" s="823"/>
      <c r="G10" s="823"/>
      <c r="H10" s="823"/>
      <c r="I10" s="823"/>
      <c r="J10" s="824"/>
      <c r="K10" s="182"/>
      <c r="L10" s="182"/>
      <c r="M10" s="182"/>
      <c r="N10" s="182"/>
      <c r="O10" s="182"/>
      <c r="P10" s="182"/>
      <c r="Q10" s="182"/>
      <c r="R10" s="182"/>
      <c r="S10" s="182"/>
      <c r="T10" s="182"/>
      <c r="U10" s="182"/>
      <c r="V10" s="182"/>
      <c r="W10" s="182"/>
      <c r="X10" s="182"/>
      <c r="Y10" s="182"/>
    </row>
    <row r="11" spans="1:25" ht="18" customHeight="1" x14ac:dyDescent="0.2">
      <c r="A11" s="182"/>
      <c r="B11" s="836" t="s">
        <v>358</v>
      </c>
      <c r="C11" s="827" t="s">
        <v>360</v>
      </c>
      <c r="D11" s="827" t="s">
        <v>361</v>
      </c>
      <c r="E11" s="827" t="s">
        <v>362</v>
      </c>
      <c r="F11" s="827" t="s">
        <v>363</v>
      </c>
      <c r="G11" s="827" t="s">
        <v>364</v>
      </c>
      <c r="H11" s="828"/>
      <c r="I11" s="252" t="s">
        <v>365</v>
      </c>
      <c r="J11" s="829" t="s">
        <v>29</v>
      </c>
      <c r="K11" s="182"/>
      <c r="L11" s="182"/>
      <c r="M11" s="182"/>
      <c r="N11" s="182"/>
      <c r="O11" s="182"/>
      <c r="P11" s="182"/>
      <c r="Q11" s="182"/>
      <c r="R11" s="182"/>
      <c r="S11" s="182"/>
      <c r="T11" s="182"/>
      <c r="U11" s="182"/>
      <c r="V11" s="182"/>
      <c r="W11" s="182"/>
      <c r="X11" s="182"/>
      <c r="Y11" s="182"/>
    </row>
    <row r="12" spans="1:25" ht="18" customHeight="1" thickBot="1" x14ac:dyDescent="0.25">
      <c r="A12" s="203"/>
      <c r="B12" s="837"/>
      <c r="C12" s="838"/>
      <c r="D12" s="838"/>
      <c r="E12" s="838"/>
      <c r="F12" s="838"/>
      <c r="G12" s="253" t="s">
        <v>366</v>
      </c>
      <c r="H12" s="253" t="s">
        <v>367</v>
      </c>
      <c r="I12" s="257">
        <f>SUM(I13:I16)</f>
        <v>1</v>
      </c>
      <c r="J12" s="830"/>
      <c r="K12" s="203"/>
      <c r="L12" s="182"/>
      <c r="M12" s="182"/>
      <c r="N12" s="182"/>
      <c r="O12" s="182"/>
      <c r="P12" s="182"/>
      <c r="Q12" s="182"/>
      <c r="R12" s="182"/>
      <c r="S12" s="182"/>
      <c r="T12" s="182"/>
      <c r="U12" s="182"/>
      <c r="V12" s="182"/>
      <c r="W12" s="182"/>
      <c r="X12" s="182"/>
      <c r="Y12" s="182"/>
    </row>
    <row r="13" spans="1:25" ht="49.5" customHeight="1" x14ac:dyDescent="0.2">
      <c r="A13" s="203"/>
      <c r="B13" s="204">
        <v>1</v>
      </c>
      <c r="C13" s="205" t="s">
        <v>502</v>
      </c>
      <c r="D13" s="205" t="s">
        <v>503</v>
      </c>
      <c r="E13" s="205" t="s">
        <v>504</v>
      </c>
      <c r="F13" s="206">
        <v>0.9</v>
      </c>
      <c r="G13" s="207">
        <v>44197</v>
      </c>
      <c r="H13" s="207">
        <v>44561</v>
      </c>
      <c r="I13" s="206">
        <v>0.5</v>
      </c>
      <c r="J13" s="208" t="s">
        <v>505</v>
      </c>
      <c r="K13" s="203"/>
      <c r="L13" s="182"/>
      <c r="M13" s="182"/>
      <c r="N13" s="182"/>
      <c r="O13" s="182"/>
      <c r="P13" s="182"/>
      <c r="Q13" s="182"/>
      <c r="R13" s="182"/>
      <c r="S13" s="182"/>
      <c r="T13" s="182"/>
      <c r="U13" s="182"/>
      <c r="V13" s="182"/>
      <c r="W13" s="182"/>
      <c r="X13" s="182"/>
      <c r="Y13" s="182"/>
    </row>
    <row r="14" spans="1:25" ht="49.5" customHeight="1" x14ac:dyDescent="0.2">
      <c r="A14" s="203"/>
      <c r="B14" s="209">
        <v>2</v>
      </c>
      <c r="C14" s="210" t="s">
        <v>506</v>
      </c>
      <c r="D14" s="210" t="s">
        <v>503</v>
      </c>
      <c r="E14" s="210" t="s">
        <v>507</v>
      </c>
      <c r="F14" s="211">
        <v>1</v>
      </c>
      <c r="G14" s="212">
        <v>44197</v>
      </c>
      <c r="H14" s="212">
        <v>44561</v>
      </c>
      <c r="I14" s="211">
        <v>0.25</v>
      </c>
      <c r="J14" s="213" t="s">
        <v>505</v>
      </c>
      <c r="K14" s="203"/>
      <c r="L14" s="182"/>
      <c r="M14" s="182"/>
      <c r="N14" s="182"/>
      <c r="O14" s="182"/>
      <c r="P14" s="182"/>
      <c r="Q14" s="182"/>
      <c r="R14" s="182"/>
      <c r="S14" s="182"/>
      <c r="T14" s="182"/>
      <c r="U14" s="182"/>
      <c r="V14" s="182"/>
      <c r="W14" s="182"/>
      <c r="X14" s="182"/>
      <c r="Y14" s="182"/>
    </row>
    <row r="15" spans="1:25" ht="49.5" customHeight="1" x14ac:dyDescent="0.2">
      <c r="A15" s="203"/>
      <c r="B15" s="209">
        <v>3</v>
      </c>
      <c r="C15" s="210" t="s">
        <v>508</v>
      </c>
      <c r="D15" s="210" t="s">
        <v>503</v>
      </c>
      <c r="E15" s="210" t="s">
        <v>509</v>
      </c>
      <c r="F15" s="211">
        <v>0.95</v>
      </c>
      <c r="G15" s="212">
        <v>44197</v>
      </c>
      <c r="H15" s="212">
        <v>44561</v>
      </c>
      <c r="I15" s="211">
        <v>0.25</v>
      </c>
      <c r="J15" s="213" t="s">
        <v>510</v>
      </c>
      <c r="K15" s="203"/>
      <c r="L15" s="182"/>
      <c r="M15" s="182"/>
      <c r="N15" s="182"/>
      <c r="O15" s="182"/>
      <c r="P15" s="182"/>
      <c r="Q15" s="182"/>
      <c r="R15" s="182"/>
      <c r="S15" s="182"/>
      <c r="T15" s="182"/>
      <c r="U15" s="182"/>
      <c r="V15" s="182"/>
      <c r="W15" s="182"/>
      <c r="X15" s="182"/>
      <c r="Y15" s="182"/>
    </row>
    <row r="16" spans="1:25" ht="22.5" customHeight="1" thickBot="1" x14ac:dyDescent="0.25">
      <c r="A16" s="203"/>
      <c r="B16" s="214"/>
      <c r="C16" s="215"/>
      <c r="D16" s="215"/>
      <c r="E16" s="215"/>
      <c r="F16" s="215"/>
      <c r="G16" s="216"/>
      <c r="H16" s="216"/>
      <c r="I16" s="216"/>
      <c r="J16" s="217"/>
      <c r="K16" s="203"/>
      <c r="L16" s="182"/>
      <c r="M16" s="182"/>
      <c r="N16" s="182"/>
      <c r="O16" s="182"/>
      <c r="P16" s="182"/>
      <c r="Q16" s="182"/>
      <c r="R16" s="182"/>
      <c r="S16" s="182"/>
      <c r="T16" s="182"/>
      <c r="U16" s="182"/>
      <c r="V16" s="182"/>
      <c r="W16" s="182"/>
      <c r="X16" s="182"/>
      <c r="Y16" s="182"/>
    </row>
    <row r="17" spans="1:25" ht="33" customHeight="1" thickBot="1" x14ac:dyDescent="0.25">
      <c r="A17" s="203"/>
      <c r="B17" s="808" t="s">
        <v>486</v>
      </c>
      <c r="C17" s="808"/>
      <c r="D17" s="808"/>
      <c r="E17" s="808"/>
      <c r="F17" s="808"/>
      <c r="G17" s="808"/>
      <c r="H17" s="808"/>
      <c r="I17" s="808"/>
      <c r="J17" s="808"/>
      <c r="K17" s="203"/>
      <c r="L17" s="182"/>
      <c r="M17" s="182"/>
      <c r="N17" s="182"/>
      <c r="O17" s="182"/>
      <c r="P17" s="182"/>
      <c r="Q17" s="182"/>
      <c r="R17" s="182"/>
      <c r="S17" s="182"/>
      <c r="T17" s="182"/>
      <c r="U17" s="182"/>
      <c r="V17" s="182"/>
      <c r="W17" s="182"/>
      <c r="X17" s="182"/>
      <c r="Y17" s="182"/>
    </row>
    <row r="18" spans="1:25" ht="21.75" customHeight="1" x14ac:dyDescent="0.2">
      <c r="A18" s="203"/>
      <c r="B18" s="218"/>
      <c r="C18" s="831" t="s">
        <v>487</v>
      </c>
      <c r="D18" s="832"/>
      <c r="E18" s="832"/>
      <c r="F18" s="833"/>
      <c r="G18" s="219"/>
      <c r="H18" s="219"/>
      <c r="I18" s="219"/>
      <c r="J18" s="220"/>
      <c r="K18" s="203"/>
      <c r="L18" s="182"/>
      <c r="M18" s="182"/>
      <c r="N18" s="182"/>
      <c r="O18" s="182"/>
      <c r="P18" s="182"/>
      <c r="Q18" s="182"/>
      <c r="R18" s="182"/>
      <c r="S18" s="182"/>
      <c r="T18" s="182"/>
      <c r="U18" s="182"/>
      <c r="V18" s="182"/>
      <c r="W18" s="182"/>
      <c r="X18" s="182"/>
      <c r="Y18" s="182"/>
    </row>
    <row r="19" spans="1:25" ht="21.75" customHeight="1" x14ac:dyDescent="0.2">
      <c r="A19" s="203"/>
      <c r="B19" s="218"/>
      <c r="C19" s="254" t="s">
        <v>355</v>
      </c>
      <c r="D19" s="834" t="s">
        <v>488</v>
      </c>
      <c r="E19" s="835"/>
      <c r="F19" s="255" t="s">
        <v>489</v>
      </c>
      <c r="G19" s="219"/>
      <c r="H19" s="219"/>
      <c r="I19" s="219"/>
      <c r="J19" s="220"/>
      <c r="K19" s="203"/>
      <c r="L19" s="182"/>
      <c r="M19" s="182"/>
      <c r="N19" s="182"/>
      <c r="O19" s="182"/>
      <c r="P19" s="182"/>
      <c r="Q19" s="182"/>
      <c r="R19" s="182"/>
      <c r="S19" s="182"/>
      <c r="T19" s="182"/>
      <c r="U19" s="182"/>
      <c r="V19" s="182"/>
      <c r="W19" s="182"/>
      <c r="X19" s="182"/>
      <c r="Y19" s="182"/>
    </row>
    <row r="20" spans="1:25" ht="28.5" customHeight="1" x14ac:dyDescent="0.2">
      <c r="A20" s="203"/>
      <c r="B20" s="218"/>
      <c r="C20" s="164">
        <v>1</v>
      </c>
      <c r="D20" s="813" t="s">
        <v>490</v>
      </c>
      <c r="E20" s="814"/>
      <c r="F20" s="165">
        <v>44225</v>
      </c>
      <c r="G20" s="219"/>
      <c r="H20" s="219"/>
      <c r="I20" s="219"/>
      <c r="J20" s="220"/>
      <c r="K20" s="203"/>
      <c r="L20" s="182"/>
      <c r="M20" s="182"/>
      <c r="N20" s="182"/>
      <c r="O20" s="182"/>
      <c r="P20" s="182"/>
      <c r="Q20" s="182"/>
      <c r="R20" s="182"/>
      <c r="S20" s="182"/>
      <c r="T20" s="182"/>
      <c r="U20" s="182"/>
      <c r="V20" s="182"/>
      <c r="W20" s="182"/>
      <c r="X20" s="182"/>
      <c r="Y20" s="182"/>
    </row>
    <row r="21" spans="1:25" ht="28.5" customHeight="1" thickBot="1" x14ac:dyDescent="0.25">
      <c r="A21" s="203"/>
      <c r="B21" s="218"/>
      <c r="C21" s="221"/>
      <c r="D21" s="825"/>
      <c r="E21" s="826"/>
      <c r="F21" s="222"/>
      <c r="G21" s="219"/>
      <c r="H21" s="219"/>
      <c r="I21" s="219"/>
      <c r="J21" s="220"/>
      <c r="K21" s="203"/>
      <c r="L21" s="182"/>
      <c r="M21" s="182"/>
      <c r="N21" s="182"/>
      <c r="O21" s="182"/>
      <c r="P21" s="182"/>
      <c r="Q21" s="182"/>
      <c r="R21" s="182"/>
      <c r="S21" s="182"/>
      <c r="T21" s="182"/>
      <c r="U21" s="182"/>
      <c r="V21" s="182"/>
      <c r="W21" s="182"/>
      <c r="X21" s="182"/>
      <c r="Y21" s="182"/>
    </row>
    <row r="22" spans="1:25" ht="33" customHeight="1" x14ac:dyDescent="0.2">
      <c r="A22" s="203"/>
      <c r="B22" s="218"/>
      <c r="C22" s="220"/>
      <c r="D22" s="220"/>
      <c r="E22" s="218"/>
      <c r="F22" s="218"/>
      <c r="G22" s="219"/>
      <c r="H22" s="219"/>
      <c r="I22" s="219"/>
      <c r="J22" s="220"/>
      <c r="K22" s="203"/>
      <c r="L22" s="182"/>
      <c r="M22" s="182"/>
      <c r="N22" s="182"/>
      <c r="O22" s="182"/>
      <c r="P22" s="182"/>
      <c r="Q22" s="182"/>
      <c r="R22" s="182"/>
      <c r="S22" s="182"/>
      <c r="T22" s="182"/>
      <c r="U22" s="182"/>
      <c r="V22" s="182"/>
      <c r="W22" s="182"/>
      <c r="X22" s="182"/>
      <c r="Y22" s="182"/>
    </row>
    <row r="23" spans="1:25" ht="33" hidden="1" customHeight="1" x14ac:dyDescent="0.2">
      <c r="A23" s="203"/>
      <c r="B23" s="218"/>
      <c r="C23" s="220"/>
      <c r="D23" s="220"/>
      <c r="E23" s="218"/>
      <c r="F23" s="218"/>
      <c r="G23" s="219"/>
      <c r="H23" s="219"/>
      <c r="I23" s="219"/>
      <c r="J23" s="220"/>
      <c r="K23" s="203"/>
      <c r="L23" s="203"/>
      <c r="M23" s="203"/>
      <c r="N23" s="203"/>
      <c r="O23" s="203"/>
      <c r="P23" s="203"/>
      <c r="Q23" s="203"/>
      <c r="R23" s="203"/>
      <c r="S23" s="203"/>
      <c r="T23" s="203"/>
      <c r="U23" s="203"/>
      <c r="V23" s="203"/>
      <c r="W23" s="203"/>
      <c r="X23" s="203"/>
      <c r="Y23" s="203"/>
    </row>
    <row r="24" spans="1:25" ht="33" hidden="1" customHeight="1" x14ac:dyDescent="0.2">
      <c r="A24" s="203"/>
      <c r="B24" s="218"/>
      <c r="C24" s="220"/>
      <c r="D24" s="220"/>
      <c r="E24" s="218"/>
      <c r="F24" s="218"/>
      <c r="G24" s="219"/>
      <c r="H24" s="219"/>
      <c r="I24" s="219"/>
      <c r="J24" s="220"/>
      <c r="K24" s="203"/>
      <c r="L24" s="203"/>
      <c r="M24" s="203"/>
      <c r="N24" s="203"/>
      <c r="O24" s="203"/>
      <c r="P24" s="203"/>
      <c r="Q24" s="203"/>
      <c r="R24" s="203"/>
      <c r="S24" s="203"/>
      <c r="T24" s="203"/>
      <c r="U24" s="203"/>
      <c r="V24" s="203"/>
      <c r="W24" s="203"/>
      <c r="X24" s="203"/>
      <c r="Y24" s="203"/>
    </row>
    <row r="25" spans="1:25" ht="33" hidden="1" customHeight="1" x14ac:dyDescent="0.2">
      <c r="A25" s="203"/>
      <c r="B25" s="218"/>
      <c r="C25" s="220"/>
      <c r="D25" s="220"/>
      <c r="E25" s="218"/>
      <c r="F25" s="218"/>
      <c r="G25" s="219"/>
      <c r="H25" s="219"/>
      <c r="I25" s="219"/>
      <c r="J25" s="220"/>
      <c r="K25" s="203"/>
      <c r="L25" s="203"/>
      <c r="M25" s="203"/>
      <c r="N25" s="203"/>
      <c r="O25" s="203"/>
      <c r="P25" s="203"/>
      <c r="Q25" s="203"/>
      <c r="R25" s="203"/>
      <c r="S25" s="203"/>
      <c r="T25" s="203"/>
      <c r="U25" s="203"/>
      <c r="V25" s="203"/>
      <c r="W25" s="203"/>
      <c r="X25" s="203"/>
      <c r="Y25" s="203"/>
    </row>
    <row r="26" spans="1:25" ht="6.75" hidden="1" customHeight="1" x14ac:dyDescent="0.2">
      <c r="A26" s="203"/>
      <c r="B26" s="223"/>
      <c r="C26" s="220"/>
      <c r="D26" s="220"/>
      <c r="E26" s="218"/>
      <c r="F26" s="218"/>
      <c r="G26" s="223"/>
      <c r="H26" s="223"/>
      <c r="I26" s="223"/>
      <c r="J26" s="220"/>
      <c r="K26" s="203"/>
      <c r="L26" s="203"/>
      <c r="M26" s="203"/>
      <c r="N26" s="203"/>
      <c r="O26" s="203"/>
      <c r="P26" s="203"/>
      <c r="Q26" s="203"/>
      <c r="R26" s="203"/>
      <c r="S26" s="203"/>
      <c r="T26" s="203"/>
      <c r="U26" s="203"/>
      <c r="V26" s="203"/>
      <c r="W26" s="203"/>
      <c r="X26" s="203"/>
      <c r="Y26" s="203"/>
    </row>
    <row r="27" spans="1:25" ht="42.75" hidden="1" customHeight="1" x14ac:dyDescent="0.2">
      <c r="A27" s="182"/>
      <c r="B27" s="170"/>
      <c r="C27" s="224"/>
      <c r="D27" s="224"/>
      <c r="E27" s="225"/>
      <c r="F27" s="225"/>
      <c r="G27" s="226"/>
      <c r="H27" s="226"/>
      <c r="I27" s="226"/>
      <c r="J27" s="174"/>
      <c r="K27" s="182"/>
      <c r="L27" s="182"/>
      <c r="M27" s="182"/>
      <c r="N27" s="182"/>
      <c r="O27" s="182"/>
      <c r="P27" s="182"/>
      <c r="Q27" s="182"/>
      <c r="R27" s="182"/>
      <c r="S27" s="182"/>
      <c r="T27" s="182"/>
      <c r="U27" s="182"/>
      <c r="V27" s="182"/>
      <c r="W27" s="182"/>
      <c r="X27" s="182"/>
      <c r="Y27" s="182"/>
    </row>
    <row r="28" spans="1:25" ht="16.5" hidden="1" customHeight="1" x14ac:dyDescent="0.2">
      <c r="A28" s="182"/>
      <c r="B28" s="175"/>
      <c r="C28" s="123"/>
      <c r="D28" s="123"/>
      <c r="E28" s="123"/>
      <c r="F28" s="123"/>
      <c r="G28" s="123"/>
      <c r="H28" s="123"/>
      <c r="I28" s="123"/>
      <c r="J28" s="174"/>
      <c r="K28" s="182"/>
      <c r="L28" s="182"/>
      <c r="M28" s="182"/>
      <c r="N28" s="182"/>
      <c r="O28" s="182"/>
      <c r="P28" s="182"/>
      <c r="Q28" s="182"/>
      <c r="R28" s="182"/>
      <c r="S28" s="182"/>
      <c r="T28" s="182"/>
      <c r="U28" s="182"/>
      <c r="V28" s="182"/>
      <c r="W28" s="182"/>
      <c r="X28" s="182"/>
      <c r="Y28" s="182"/>
    </row>
    <row r="29" spans="1:25" ht="16.5" hidden="1" customHeight="1" x14ac:dyDescent="0.2">
      <c r="A29" s="182"/>
      <c r="B29" s="175"/>
      <c r="C29" s="176"/>
      <c r="D29" s="176"/>
      <c r="E29" s="176"/>
      <c r="F29" s="123"/>
      <c r="G29" s="123"/>
      <c r="H29" s="123"/>
      <c r="I29" s="123"/>
      <c r="J29" s="174"/>
      <c r="K29" s="182"/>
      <c r="L29" s="182"/>
      <c r="M29" s="182"/>
      <c r="N29" s="182"/>
      <c r="O29" s="182"/>
      <c r="P29" s="182"/>
      <c r="Q29" s="182"/>
      <c r="R29" s="182"/>
      <c r="S29" s="182"/>
      <c r="T29" s="182"/>
      <c r="U29" s="182"/>
      <c r="V29" s="182"/>
      <c r="W29" s="182"/>
      <c r="X29" s="182"/>
      <c r="Y29" s="182"/>
    </row>
    <row r="30" spans="1:25" ht="16.5" hidden="1" customHeight="1" x14ac:dyDescent="0.2">
      <c r="A30" s="182"/>
      <c r="B30" s="175"/>
      <c r="C30" s="176"/>
      <c r="D30" s="176"/>
      <c r="E30" s="176"/>
      <c r="F30" s="123"/>
      <c r="G30" s="123"/>
      <c r="H30" s="123"/>
      <c r="I30" s="123"/>
      <c r="J30" s="174"/>
      <c r="K30" s="182"/>
      <c r="L30" s="182"/>
      <c r="M30" s="182"/>
      <c r="N30" s="182"/>
      <c r="O30" s="182"/>
      <c r="P30" s="182"/>
      <c r="Q30" s="182"/>
      <c r="R30" s="182"/>
      <c r="S30" s="182"/>
      <c r="T30" s="182"/>
      <c r="U30" s="182"/>
      <c r="V30" s="182"/>
      <c r="W30" s="182"/>
      <c r="X30" s="182"/>
      <c r="Y30" s="182"/>
    </row>
    <row r="31" spans="1:25" ht="16.5" hidden="1" customHeight="1" x14ac:dyDescent="0.2">
      <c r="A31" s="182"/>
      <c r="B31" s="175"/>
      <c r="C31" s="176"/>
      <c r="D31" s="176"/>
      <c r="E31" s="176"/>
      <c r="F31" s="123"/>
      <c r="G31" s="123"/>
      <c r="H31" s="123"/>
      <c r="I31" s="123"/>
      <c r="J31" s="174"/>
      <c r="K31" s="182"/>
      <c r="L31" s="182"/>
      <c r="M31" s="182"/>
      <c r="N31" s="182"/>
      <c r="O31" s="182"/>
      <c r="P31" s="182"/>
      <c r="Q31" s="182"/>
      <c r="R31" s="182"/>
      <c r="S31" s="182"/>
      <c r="T31" s="182"/>
      <c r="U31" s="182"/>
      <c r="V31" s="182"/>
      <c r="W31" s="182"/>
      <c r="X31" s="182"/>
      <c r="Y31" s="182"/>
    </row>
    <row r="32" spans="1:25" ht="16.5" hidden="1" customHeight="1" x14ac:dyDescent="0.2">
      <c r="A32" s="182"/>
      <c r="B32" s="175"/>
      <c r="C32" s="176"/>
      <c r="D32" s="176"/>
      <c r="E32" s="176"/>
      <c r="F32" s="123"/>
      <c r="G32" s="123"/>
      <c r="H32" s="123"/>
      <c r="I32" s="123"/>
      <c r="J32" s="174"/>
      <c r="K32" s="182"/>
      <c r="L32" s="182"/>
      <c r="M32" s="182"/>
      <c r="N32" s="182"/>
      <c r="O32" s="182"/>
      <c r="P32" s="182"/>
      <c r="Q32" s="182"/>
      <c r="R32" s="182"/>
      <c r="S32" s="182"/>
      <c r="T32" s="182"/>
      <c r="U32" s="182"/>
      <c r="V32" s="182"/>
      <c r="W32" s="182"/>
      <c r="X32" s="182"/>
      <c r="Y32" s="182"/>
    </row>
    <row r="33" spans="1:25" ht="16.5" hidden="1" customHeight="1" x14ac:dyDescent="0.2">
      <c r="A33" s="182"/>
      <c r="B33" s="175"/>
      <c r="C33" s="176"/>
      <c r="D33" s="176"/>
      <c r="E33" s="176"/>
      <c r="F33" s="123"/>
      <c r="G33" s="123"/>
      <c r="H33" s="123"/>
      <c r="I33" s="123"/>
      <c r="J33" s="174"/>
      <c r="K33" s="182"/>
      <c r="L33" s="182"/>
      <c r="M33" s="182"/>
      <c r="N33" s="182"/>
      <c r="O33" s="182"/>
      <c r="P33" s="182"/>
      <c r="Q33" s="182"/>
      <c r="R33" s="182"/>
      <c r="S33" s="182"/>
      <c r="T33" s="182"/>
      <c r="U33" s="182"/>
      <c r="V33" s="182"/>
      <c r="W33" s="182"/>
      <c r="X33" s="182"/>
      <c r="Y33" s="182"/>
    </row>
    <row r="34" spans="1:25" ht="16.5" hidden="1" customHeight="1" x14ac:dyDescent="0.2">
      <c r="A34" s="182"/>
      <c r="B34" s="175"/>
      <c r="C34" s="176"/>
      <c r="D34" s="176"/>
      <c r="E34" s="176"/>
      <c r="F34" s="123"/>
      <c r="G34" s="123"/>
      <c r="H34" s="123"/>
      <c r="I34" s="123"/>
      <c r="J34" s="174"/>
      <c r="K34" s="182"/>
      <c r="L34" s="182"/>
      <c r="M34" s="182"/>
      <c r="N34" s="182"/>
      <c r="O34" s="182"/>
      <c r="P34" s="182"/>
      <c r="Q34" s="182"/>
      <c r="R34" s="182"/>
      <c r="S34" s="182"/>
      <c r="T34" s="182"/>
      <c r="U34" s="182"/>
      <c r="V34" s="182"/>
      <c r="W34" s="182"/>
      <c r="X34" s="182"/>
      <c r="Y34" s="182"/>
    </row>
    <row r="35" spans="1:25" ht="16.5" hidden="1" customHeight="1" x14ac:dyDescent="0.2">
      <c r="A35" s="182"/>
      <c r="B35" s="175"/>
      <c r="C35" s="176"/>
      <c r="D35" s="176"/>
      <c r="E35" s="176"/>
      <c r="F35" s="123"/>
      <c r="G35" s="123"/>
      <c r="H35" s="123"/>
      <c r="I35" s="123"/>
      <c r="J35" s="174"/>
      <c r="K35" s="182"/>
      <c r="L35" s="182"/>
      <c r="M35" s="182"/>
      <c r="N35" s="182"/>
      <c r="O35" s="182"/>
      <c r="P35" s="182"/>
      <c r="Q35" s="182"/>
      <c r="R35" s="182"/>
      <c r="S35" s="182"/>
      <c r="T35" s="182"/>
      <c r="U35" s="182"/>
      <c r="V35" s="182"/>
      <c r="W35" s="182"/>
      <c r="X35" s="182"/>
      <c r="Y35" s="182"/>
    </row>
    <row r="36" spans="1:25" ht="16.5" hidden="1" customHeight="1" x14ac:dyDescent="0.2">
      <c r="A36" s="182"/>
      <c r="B36" s="175"/>
      <c r="C36" s="176"/>
      <c r="D36" s="176"/>
      <c r="E36" s="176"/>
      <c r="F36" s="123"/>
      <c r="G36" s="123"/>
      <c r="H36" s="123"/>
      <c r="I36" s="123"/>
      <c r="J36" s="174"/>
      <c r="K36" s="182"/>
      <c r="L36" s="182"/>
      <c r="M36" s="182"/>
      <c r="N36" s="182"/>
      <c r="O36" s="182"/>
      <c r="P36" s="182"/>
      <c r="Q36" s="182"/>
      <c r="R36" s="182"/>
      <c r="S36" s="182"/>
      <c r="T36" s="182"/>
      <c r="U36" s="182"/>
      <c r="V36" s="182"/>
      <c r="W36" s="182"/>
      <c r="X36" s="182"/>
      <c r="Y36" s="182"/>
    </row>
    <row r="37" spans="1:25" ht="16.5" hidden="1" customHeight="1" x14ac:dyDescent="0.2">
      <c r="A37" s="182"/>
      <c r="B37" s="175"/>
      <c r="C37" s="176"/>
      <c r="D37" s="176"/>
      <c r="E37" s="176"/>
      <c r="F37" s="123"/>
      <c r="G37" s="123"/>
      <c r="H37" s="123"/>
      <c r="I37" s="123"/>
      <c r="J37" s="174"/>
      <c r="K37" s="182"/>
      <c r="L37" s="182"/>
      <c r="M37" s="182"/>
      <c r="N37" s="182"/>
      <c r="O37" s="182"/>
      <c r="P37" s="182"/>
      <c r="Q37" s="182"/>
      <c r="R37" s="182"/>
      <c r="S37" s="182"/>
      <c r="T37" s="182"/>
      <c r="U37" s="182"/>
      <c r="V37" s="182"/>
      <c r="W37" s="182"/>
      <c r="X37" s="182"/>
      <c r="Y37" s="182"/>
    </row>
    <row r="38" spans="1:25" ht="16.5" hidden="1" customHeight="1" x14ac:dyDescent="0.2">
      <c r="A38" s="182"/>
      <c r="B38" s="175"/>
      <c r="C38" s="176"/>
      <c r="D38" s="176"/>
      <c r="E38" s="176"/>
      <c r="F38" s="123"/>
      <c r="G38" s="123"/>
      <c r="H38" s="123"/>
      <c r="I38" s="123"/>
      <c r="J38" s="174"/>
      <c r="K38" s="182"/>
      <c r="L38" s="182"/>
      <c r="M38" s="182"/>
      <c r="N38" s="182"/>
      <c r="O38" s="182"/>
      <c r="P38" s="182"/>
      <c r="Q38" s="182"/>
      <c r="R38" s="182"/>
      <c r="S38" s="182"/>
      <c r="T38" s="182"/>
      <c r="U38" s="182"/>
      <c r="V38" s="182"/>
      <c r="W38" s="182"/>
      <c r="X38" s="182"/>
      <c r="Y38" s="182"/>
    </row>
    <row r="39" spans="1:25" ht="16.5" hidden="1" customHeight="1" x14ac:dyDescent="0.2">
      <c r="A39" s="182"/>
      <c r="B39" s="175"/>
      <c r="C39" s="176"/>
      <c r="D39" s="176"/>
      <c r="E39" s="176"/>
      <c r="F39" s="123"/>
      <c r="G39" s="123"/>
      <c r="H39" s="123"/>
      <c r="I39" s="123"/>
      <c r="J39" s="174"/>
      <c r="K39" s="182"/>
      <c r="L39" s="182"/>
      <c r="M39" s="182"/>
      <c r="N39" s="182"/>
      <c r="O39" s="182"/>
      <c r="P39" s="182"/>
      <c r="Q39" s="182"/>
      <c r="R39" s="182"/>
      <c r="S39" s="182"/>
      <c r="T39" s="182"/>
      <c r="U39" s="182"/>
      <c r="V39" s="182"/>
      <c r="W39" s="182"/>
      <c r="X39" s="182"/>
      <c r="Y39" s="182"/>
    </row>
    <row r="40" spans="1:25" ht="16.5" hidden="1" customHeight="1" x14ac:dyDescent="0.2">
      <c r="A40" s="182"/>
      <c r="B40" s="175"/>
      <c r="C40" s="176"/>
      <c r="D40" s="176"/>
      <c r="E40" s="176"/>
      <c r="F40" s="123"/>
      <c r="G40" s="123"/>
      <c r="H40" s="123"/>
      <c r="I40" s="123"/>
      <c r="J40" s="174"/>
      <c r="K40" s="182"/>
      <c r="L40" s="182"/>
      <c r="M40" s="182"/>
      <c r="N40" s="182"/>
      <c r="O40" s="182"/>
      <c r="P40" s="182"/>
      <c r="Q40" s="182"/>
      <c r="R40" s="182"/>
      <c r="S40" s="182"/>
      <c r="T40" s="182"/>
      <c r="U40" s="182"/>
      <c r="V40" s="182"/>
      <c r="W40" s="182"/>
      <c r="X40" s="182"/>
      <c r="Y40" s="182"/>
    </row>
    <row r="41" spans="1:25" ht="16.5" hidden="1" customHeight="1" x14ac:dyDescent="0.2">
      <c r="A41" s="182"/>
      <c r="B41" s="175"/>
      <c r="C41" s="176"/>
      <c r="D41" s="176"/>
      <c r="E41" s="176"/>
      <c r="F41" s="123"/>
      <c r="G41" s="123"/>
      <c r="H41" s="123"/>
      <c r="I41" s="123"/>
      <c r="J41" s="174"/>
      <c r="K41" s="182"/>
      <c r="L41" s="182"/>
      <c r="M41" s="182"/>
      <c r="N41" s="182"/>
      <c r="O41" s="182"/>
      <c r="P41" s="182"/>
      <c r="Q41" s="182"/>
      <c r="R41" s="182"/>
      <c r="S41" s="182"/>
      <c r="T41" s="182"/>
      <c r="U41" s="182"/>
      <c r="V41" s="182"/>
      <c r="W41" s="182"/>
      <c r="X41" s="182"/>
      <c r="Y41" s="182"/>
    </row>
    <row r="42" spans="1:25" ht="16.5" hidden="1" customHeight="1" x14ac:dyDescent="0.2">
      <c r="A42" s="182"/>
      <c r="B42" s="175"/>
      <c r="C42" s="176"/>
      <c r="D42" s="176"/>
      <c r="E42" s="176"/>
      <c r="F42" s="123"/>
      <c r="G42" s="123"/>
      <c r="H42" s="123"/>
      <c r="I42" s="123"/>
      <c r="J42" s="174"/>
      <c r="K42" s="182"/>
      <c r="L42" s="182"/>
      <c r="M42" s="182"/>
      <c r="N42" s="182"/>
      <c r="O42" s="182"/>
      <c r="P42" s="182"/>
      <c r="Q42" s="182"/>
      <c r="R42" s="182"/>
      <c r="S42" s="182"/>
      <c r="T42" s="182"/>
      <c r="U42" s="182"/>
      <c r="V42" s="182"/>
      <c r="W42" s="182"/>
      <c r="X42" s="182"/>
      <c r="Y42" s="182"/>
    </row>
    <row r="43" spans="1:25" ht="16.5" hidden="1" customHeight="1" x14ac:dyDescent="0.2">
      <c r="A43" s="182"/>
      <c r="B43" s="175"/>
      <c r="C43" s="176"/>
      <c r="D43" s="176"/>
      <c r="E43" s="176"/>
      <c r="F43" s="123"/>
      <c r="G43" s="123"/>
      <c r="H43" s="123"/>
      <c r="I43" s="123"/>
      <c r="J43" s="174"/>
      <c r="K43" s="182"/>
      <c r="L43" s="182"/>
      <c r="M43" s="182"/>
      <c r="N43" s="182"/>
      <c r="O43" s="182"/>
      <c r="P43" s="182"/>
      <c r="Q43" s="182"/>
      <c r="R43" s="182"/>
      <c r="S43" s="182"/>
      <c r="T43" s="182"/>
      <c r="U43" s="182"/>
      <c r="V43" s="182"/>
      <c r="W43" s="182"/>
      <c r="X43" s="182"/>
      <c r="Y43" s="182"/>
    </row>
    <row r="44" spans="1:25" ht="16.5" hidden="1" customHeight="1" x14ac:dyDescent="0.2">
      <c r="A44" s="182"/>
      <c r="B44" s="175"/>
      <c r="C44" s="176"/>
      <c r="D44" s="176"/>
      <c r="E44" s="176"/>
      <c r="F44" s="123"/>
      <c r="G44" s="123"/>
      <c r="H44" s="123"/>
      <c r="I44" s="123"/>
      <c r="J44" s="174"/>
      <c r="K44" s="182"/>
      <c r="L44" s="182"/>
      <c r="M44" s="182"/>
      <c r="N44" s="182"/>
      <c r="O44" s="182"/>
      <c r="P44" s="182"/>
      <c r="Q44" s="182"/>
      <c r="R44" s="182"/>
      <c r="S44" s="182"/>
      <c r="T44" s="182"/>
      <c r="U44" s="182"/>
      <c r="V44" s="182"/>
      <c r="W44" s="182"/>
      <c r="X44" s="182"/>
      <c r="Y44" s="182"/>
    </row>
    <row r="45" spans="1:25" ht="16.5" hidden="1" customHeight="1" x14ac:dyDescent="0.2">
      <c r="A45" s="182"/>
      <c r="B45" s="175"/>
      <c r="C45" s="176"/>
      <c r="D45" s="176"/>
      <c r="E45" s="176"/>
      <c r="F45" s="123"/>
      <c r="G45" s="123"/>
      <c r="H45" s="123"/>
      <c r="I45" s="123"/>
      <c r="J45" s="174"/>
      <c r="K45" s="182"/>
      <c r="L45" s="182"/>
      <c r="M45" s="182"/>
      <c r="N45" s="182"/>
      <c r="O45" s="182"/>
      <c r="P45" s="182"/>
      <c r="Q45" s="182"/>
      <c r="R45" s="182"/>
      <c r="S45" s="182"/>
      <c r="T45" s="182"/>
      <c r="U45" s="182"/>
      <c r="V45" s="182"/>
      <c r="W45" s="182"/>
      <c r="X45" s="182"/>
      <c r="Y45" s="182"/>
    </row>
    <row r="46" spans="1:25" ht="16.5" hidden="1" customHeight="1" x14ac:dyDescent="0.2">
      <c r="A46" s="182"/>
      <c r="B46" s="175"/>
      <c r="C46" s="176"/>
      <c r="D46" s="176"/>
      <c r="E46" s="176"/>
      <c r="F46" s="123"/>
      <c r="G46" s="123"/>
      <c r="H46" s="123"/>
      <c r="I46" s="123"/>
      <c r="J46" s="174"/>
      <c r="K46" s="182"/>
      <c r="L46" s="182"/>
      <c r="M46" s="182"/>
      <c r="N46" s="182"/>
      <c r="O46" s="182"/>
      <c r="P46" s="182"/>
      <c r="Q46" s="182"/>
      <c r="R46" s="182"/>
      <c r="S46" s="182"/>
      <c r="T46" s="182"/>
      <c r="U46" s="182"/>
      <c r="V46" s="182"/>
      <c r="W46" s="182"/>
      <c r="X46" s="182"/>
      <c r="Y46" s="182"/>
    </row>
    <row r="47" spans="1:25" ht="16.5" hidden="1" customHeight="1" x14ac:dyDescent="0.2">
      <c r="A47" s="182"/>
      <c r="B47" s="175"/>
      <c r="C47" s="176"/>
      <c r="D47" s="176"/>
      <c r="E47" s="176"/>
      <c r="F47" s="123"/>
      <c r="G47" s="123"/>
      <c r="H47" s="123"/>
      <c r="I47" s="123"/>
      <c r="J47" s="174"/>
      <c r="K47" s="182"/>
      <c r="L47" s="182"/>
      <c r="M47" s="182"/>
      <c r="N47" s="182"/>
      <c r="O47" s="182"/>
      <c r="P47" s="182"/>
      <c r="Q47" s="182"/>
      <c r="R47" s="182"/>
      <c r="S47" s="182"/>
      <c r="T47" s="182"/>
      <c r="U47" s="182"/>
      <c r="V47" s="182"/>
      <c r="W47" s="182"/>
      <c r="X47" s="182"/>
      <c r="Y47" s="182"/>
    </row>
    <row r="48" spans="1:25" ht="16.5" hidden="1" customHeight="1" x14ac:dyDescent="0.2">
      <c r="A48" s="182"/>
      <c r="B48" s="175"/>
      <c r="C48" s="176"/>
      <c r="D48" s="176"/>
      <c r="E48" s="176"/>
      <c r="F48" s="123"/>
      <c r="G48" s="123"/>
      <c r="H48" s="123"/>
      <c r="I48" s="123"/>
      <c r="J48" s="174"/>
      <c r="K48" s="182"/>
      <c r="L48" s="182"/>
      <c r="M48" s="182"/>
      <c r="N48" s="182"/>
      <c r="O48" s="182"/>
      <c r="P48" s="182"/>
      <c r="Q48" s="182"/>
      <c r="R48" s="182"/>
      <c r="S48" s="182"/>
      <c r="T48" s="182"/>
      <c r="U48" s="182"/>
      <c r="V48" s="182"/>
      <c r="W48" s="182"/>
      <c r="X48" s="182"/>
      <c r="Y48" s="182"/>
    </row>
    <row r="49" spans="1:25" ht="16.5" hidden="1" customHeight="1" x14ac:dyDescent="0.2">
      <c r="A49" s="182"/>
      <c r="B49" s="175"/>
      <c r="C49" s="176"/>
      <c r="D49" s="176"/>
      <c r="E49" s="176"/>
      <c r="F49" s="123"/>
      <c r="G49" s="123"/>
      <c r="H49" s="123"/>
      <c r="I49" s="123"/>
      <c r="J49" s="174"/>
      <c r="K49" s="182"/>
      <c r="L49" s="182"/>
      <c r="M49" s="182"/>
      <c r="N49" s="182"/>
      <c r="O49" s="182"/>
      <c r="P49" s="182"/>
      <c r="Q49" s="182"/>
      <c r="R49" s="182"/>
      <c r="S49" s="182"/>
      <c r="T49" s="182"/>
      <c r="U49" s="182"/>
      <c r="V49" s="182"/>
      <c r="W49" s="182"/>
      <c r="X49" s="182"/>
      <c r="Y49" s="182"/>
    </row>
    <row r="50" spans="1:25" ht="16.5" hidden="1" customHeight="1" x14ac:dyDescent="0.2">
      <c r="A50" s="182"/>
      <c r="B50" s="175"/>
      <c r="C50" s="176"/>
      <c r="D50" s="176"/>
      <c r="E50" s="176"/>
      <c r="F50" s="123"/>
      <c r="G50" s="123"/>
      <c r="H50" s="123"/>
      <c r="I50" s="123"/>
      <c r="J50" s="174"/>
      <c r="K50" s="182"/>
      <c r="L50" s="182"/>
      <c r="M50" s="182"/>
      <c r="N50" s="182"/>
      <c r="O50" s="182"/>
      <c r="P50" s="182"/>
      <c r="Q50" s="182"/>
      <c r="R50" s="182"/>
      <c r="S50" s="182"/>
      <c r="T50" s="182"/>
      <c r="U50" s="182"/>
      <c r="V50" s="182"/>
      <c r="W50" s="182"/>
      <c r="X50" s="182"/>
      <c r="Y50" s="182"/>
    </row>
    <row r="51" spans="1:25" ht="16.5" hidden="1" customHeight="1" x14ac:dyDescent="0.2">
      <c r="A51" s="182"/>
      <c r="B51" s="175"/>
      <c r="C51" s="176"/>
      <c r="D51" s="176"/>
      <c r="E51" s="176"/>
      <c r="F51" s="123"/>
      <c r="G51" s="123"/>
      <c r="H51" s="123"/>
      <c r="I51" s="123"/>
      <c r="J51" s="174"/>
      <c r="K51" s="182"/>
      <c r="L51" s="182"/>
      <c r="M51" s="182"/>
      <c r="N51" s="182"/>
      <c r="O51" s="182"/>
      <c r="P51" s="182"/>
      <c r="Q51" s="182"/>
      <c r="R51" s="182"/>
      <c r="S51" s="182"/>
      <c r="T51" s="182"/>
      <c r="U51" s="182"/>
      <c r="V51" s="182"/>
      <c r="W51" s="182"/>
      <c r="X51" s="182"/>
      <c r="Y51" s="182"/>
    </row>
    <row r="52" spans="1:25" ht="16.5" hidden="1" customHeight="1" x14ac:dyDescent="0.2">
      <c r="A52" s="182"/>
      <c r="B52" s="175"/>
      <c r="C52" s="176"/>
      <c r="D52" s="176"/>
      <c r="E52" s="176"/>
      <c r="F52" s="123"/>
      <c r="G52" s="123"/>
      <c r="H52" s="123"/>
      <c r="I52" s="123"/>
      <c r="J52" s="174"/>
      <c r="K52" s="182"/>
      <c r="L52" s="182"/>
      <c r="M52" s="182"/>
      <c r="N52" s="182"/>
      <c r="O52" s="182"/>
      <c r="P52" s="182"/>
      <c r="Q52" s="182"/>
      <c r="R52" s="182"/>
      <c r="S52" s="182"/>
      <c r="T52" s="182"/>
      <c r="U52" s="182"/>
      <c r="V52" s="182"/>
      <c r="W52" s="182"/>
      <c r="X52" s="182"/>
      <c r="Y52" s="182"/>
    </row>
    <row r="53" spans="1:25" ht="16.5" hidden="1" customHeight="1" x14ac:dyDescent="0.2">
      <c r="A53" s="182"/>
      <c r="B53" s="175"/>
      <c r="C53" s="176"/>
      <c r="D53" s="176"/>
      <c r="E53" s="176"/>
      <c r="F53" s="123"/>
      <c r="G53" s="123"/>
      <c r="H53" s="123"/>
      <c r="I53" s="123"/>
      <c r="J53" s="174"/>
      <c r="K53" s="182"/>
      <c r="L53" s="182"/>
      <c r="M53" s="182"/>
      <c r="N53" s="182"/>
      <c r="O53" s="182"/>
      <c r="P53" s="182"/>
      <c r="Q53" s="182"/>
      <c r="R53" s="182"/>
      <c r="S53" s="182"/>
      <c r="T53" s="182"/>
      <c r="U53" s="182"/>
      <c r="V53" s="182"/>
      <c r="W53" s="182"/>
      <c r="X53" s="182"/>
      <c r="Y53" s="182"/>
    </row>
    <row r="54" spans="1:25" ht="16.5" hidden="1" customHeight="1" x14ac:dyDescent="0.2">
      <c r="A54" s="182"/>
      <c r="B54" s="175"/>
      <c r="C54" s="176"/>
      <c r="D54" s="176"/>
      <c r="E54" s="176"/>
      <c r="F54" s="123"/>
      <c r="G54" s="123"/>
      <c r="H54" s="123"/>
      <c r="I54" s="123"/>
      <c r="J54" s="174"/>
      <c r="K54" s="182"/>
      <c r="L54" s="182"/>
      <c r="M54" s="182"/>
      <c r="N54" s="182"/>
      <c r="O54" s="182"/>
      <c r="P54" s="182"/>
      <c r="Q54" s="182"/>
      <c r="R54" s="182"/>
      <c r="S54" s="182"/>
      <c r="T54" s="182"/>
      <c r="U54" s="182"/>
      <c r="V54" s="182"/>
      <c r="W54" s="182"/>
      <c r="X54" s="182"/>
      <c r="Y54" s="182"/>
    </row>
    <row r="55" spans="1:25" ht="16.5" hidden="1" customHeight="1" x14ac:dyDescent="0.2">
      <c r="A55" s="182"/>
      <c r="B55" s="175"/>
      <c r="C55" s="176"/>
      <c r="D55" s="176"/>
      <c r="E55" s="176"/>
      <c r="F55" s="123"/>
      <c r="G55" s="123"/>
      <c r="H55" s="123"/>
      <c r="I55" s="123"/>
      <c r="J55" s="174"/>
      <c r="K55" s="182"/>
      <c r="L55" s="182"/>
      <c r="M55" s="182"/>
      <c r="N55" s="182"/>
      <c r="O55" s="182"/>
      <c r="P55" s="182"/>
      <c r="Q55" s="182"/>
      <c r="R55" s="182"/>
      <c r="S55" s="182"/>
      <c r="T55" s="182"/>
      <c r="U55" s="182"/>
      <c r="V55" s="182"/>
      <c r="W55" s="182"/>
      <c r="X55" s="182"/>
      <c r="Y55" s="182"/>
    </row>
    <row r="56" spans="1:25" ht="16.5" hidden="1" customHeight="1" x14ac:dyDescent="0.2">
      <c r="A56" s="182"/>
      <c r="B56" s="175"/>
      <c r="C56" s="176"/>
      <c r="D56" s="176"/>
      <c r="E56" s="176"/>
      <c r="F56" s="123"/>
      <c r="G56" s="123"/>
      <c r="H56" s="123"/>
      <c r="I56" s="123"/>
      <c r="J56" s="174"/>
      <c r="K56" s="182"/>
      <c r="L56" s="182"/>
      <c r="M56" s="182"/>
      <c r="N56" s="182"/>
      <c r="O56" s="182"/>
      <c r="P56" s="182"/>
      <c r="Q56" s="182"/>
      <c r="R56" s="182"/>
      <c r="S56" s="182"/>
      <c r="T56" s="182"/>
      <c r="U56" s="182"/>
      <c r="V56" s="182"/>
      <c r="W56" s="182"/>
      <c r="X56" s="182"/>
      <c r="Y56" s="182"/>
    </row>
    <row r="57" spans="1:25" ht="16.5" hidden="1" customHeight="1" x14ac:dyDescent="0.2">
      <c r="A57" s="182"/>
      <c r="B57" s="175"/>
      <c r="C57" s="176"/>
      <c r="D57" s="176"/>
      <c r="E57" s="176"/>
      <c r="F57" s="123"/>
      <c r="G57" s="123"/>
      <c r="H57" s="123"/>
      <c r="I57" s="123"/>
      <c r="J57" s="174"/>
      <c r="K57" s="182"/>
      <c r="L57" s="182"/>
      <c r="M57" s="182"/>
      <c r="N57" s="182"/>
      <c r="O57" s="182"/>
      <c r="P57" s="182"/>
      <c r="Q57" s="182"/>
      <c r="R57" s="182"/>
      <c r="S57" s="182"/>
      <c r="T57" s="182"/>
      <c r="U57" s="182"/>
      <c r="V57" s="182"/>
      <c r="W57" s="182"/>
      <c r="X57" s="182"/>
      <c r="Y57" s="182"/>
    </row>
    <row r="58" spans="1:25" ht="15" hidden="1" customHeight="1" x14ac:dyDescent="0.2">
      <c r="A58" s="182"/>
      <c r="B58" s="175"/>
      <c r="C58" s="176"/>
      <c r="D58" s="176"/>
      <c r="E58" s="176"/>
      <c r="F58" s="123"/>
      <c r="G58" s="123"/>
      <c r="H58" s="123"/>
      <c r="I58" s="123"/>
      <c r="J58" s="174"/>
      <c r="K58" s="182"/>
      <c r="L58" s="182"/>
      <c r="M58" s="182"/>
      <c r="N58" s="182"/>
      <c r="O58" s="182"/>
      <c r="P58" s="182"/>
      <c r="Q58" s="182"/>
      <c r="R58" s="182"/>
      <c r="S58" s="182"/>
      <c r="T58" s="182"/>
      <c r="U58" s="182"/>
      <c r="V58" s="182"/>
      <c r="W58" s="182"/>
      <c r="X58" s="182"/>
      <c r="Y58" s="182"/>
    </row>
    <row r="59" spans="1:25" ht="15" hidden="1" customHeight="1" x14ac:dyDescent="0.2">
      <c r="A59" s="182"/>
      <c r="B59" s="175"/>
      <c r="C59" s="176"/>
      <c r="D59" s="176"/>
      <c r="E59" s="176"/>
      <c r="F59" s="123"/>
      <c r="G59" s="123"/>
      <c r="H59" s="123"/>
      <c r="I59" s="123"/>
      <c r="J59" s="174"/>
      <c r="K59" s="182"/>
      <c r="L59" s="182"/>
      <c r="M59" s="182"/>
      <c r="N59" s="182"/>
      <c r="O59" s="182"/>
      <c r="P59" s="182"/>
      <c r="Q59" s="182"/>
      <c r="R59" s="182"/>
      <c r="S59" s="182"/>
      <c r="T59" s="182"/>
      <c r="U59" s="182"/>
      <c r="V59" s="182"/>
      <c r="W59" s="182"/>
      <c r="X59" s="182"/>
      <c r="Y59" s="182"/>
    </row>
    <row r="60" spans="1:25" ht="15" hidden="1" customHeight="1" x14ac:dyDescent="0.2">
      <c r="A60" s="182"/>
      <c r="B60" s="175"/>
      <c r="C60" s="176"/>
      <c r="D60" s="176"/>
      <c r="E60" s="176"/>
      <c r="F60" s="123"/>
      <c r="G60" s="123"/>
      <c r="H60" s="123"/>
      <c r="I60" s="123"/>
      <c r="J60" s="174"/>
      <c r="K60" s="182"/>
      <c r="L60" s="182"/>
      <c r="M60" s="182"/>
      <c r="N60" s="182"/>
      <c r="O60" s="182"/>
      <c r="P60" s="182"/>
      <c r="Q60" s="182"/>
      <c r="R60" s="182"/>
      <c r="S60" s="182"/>
      <c r="T60" s="182"/>
      <c r="U60" s="182"/>
      <c r="V60" s="182"/>
      <c r="W60" s="182"/>
      <c r="X60" s="182"/>
      <c r="Y60" s="182"/>
    </row>
    <row r="61" spans="1:25" ht="15" hidden="1" customHeight="1" x14ac:dyDescent="0.2">
      <c r="A61" s="182"/>
      <c r="B61" s="175"/>
      <c r="C61" s="176"/>
      <c r="D61" s="176"/>
      <c r="E61" s="176"/>
      <c r="F61" s="123"/>
      <c r="G61" s="123"/>
      <c r="H61" s="123"/>
      <c r="I61" s="123"/>
      <c r="J61" s="174"/>
      <c r="K61" s="182"/>
      <c r="L61" s="182"/>
      <c r="M61" s="182"/>
      <c r="N61" s="182"/>
      <c r="O61" s="182"/>
      <c r="P61" s="182"/>
      <c r="Q61" s="182"/>
      <c r="R61" s="182"/>
      <c r="S61" s="182"/>
      <c r="T61" s="182"/>
      <c r="U61" s="182"/>
      <c r="V61" s="182"/>
      <c r="W61" s="182"/>
      <c r="X61" s="182"/>
      <c r="Y61" s="182"/>
    </row>
    <row r="62" spans="1:25" ht="15" hidden="1" customHeight="1" x14ac:dyDescent="0.2">
      <c r="A62" s="182"/>
      <c r="B62" s="175"/>
      <c r="C62" s="176"/>
      <c r="D62" s="176"/>
      <c r="E62" s="176"/>
      <c r="F62" s="123"/>
      <c r="G62" s="123"/>
      <c r="H62" s="123"/>
      <c r="I62" s="123"/>
      <c r="J62" s="174"/>
      <c r="K62" s="182"/>
      <c r="L62" s="182"/>
      <c r="M62" s="182"/>
      <c r="N62" s="182"/>
      <c r="O62" s="182"/>
      <c r="P62" s="182"/>
      <c r="Q62" s="182"/>
      <c r="R62" s="182"/>
      <c r="S62" s="182"/>
      <c r="T62" s="182"/>
      <c r="U62" s="182"/>
      <c r="V62" s="182"/>
      <c r="W62" s="182"/>
      <c r="X62" s="182"/>
      <c r="Y62" s="182"/>
    </row>
    <row r="63" spans="1:25" ht="15" hidden="1" customHeight="1" x14ac:dyDescent="0.2">
      <c r="A63" s="182"/>
      <c r="B63" s="175"/>
      <c r="C63" s="176"/>
      <c r="D63" s="176"/>
      <c r="E63" s="176"/>
      <c r="F63" s="123"/>
      <c r="G63" s="123"/>
      <c r="H63" s="123"/>
      <c r="I63" s="123"/>
      <c r="J63" s="174"/>
      <c r="K63" s="182"/>
      <c r="L63" s="182"/>
      <c r="M63" s="182"/>
      <c r="N63" s="182"/>
      <c r="O63" s="182"/>
      <c r="P63" s="182"/>
      <c r="Q63" s="182"/>
      <c r="R63" s="182"/>
      <c r="S63" s="182"/>
      <c r="T63" s="182"/>
      <c r="U63" s="182"/>
      <c r="V63" s="182"/>
      <c r="W63" s="182"/>
      <c r="X63" s="182"/>
      <c r="Y63" s="182"/>
    </row>
    <row r="64" spans="1:25" ht="15" hidden="1" customHeight="1" x14ac:dyDescent="0.2">
      <c r="A64" s="182"/>
      <c r="B64" s="175"/>
      <c r="C64" s="176"/>
      <c r="D64" s="176"/>
      <c r="E64" s="176"/>
      <c r="F64" s="123"/>
      <c r="G64" s="123"/>
      <c r="H64" s="123"/>
      <c r="I64" s="123"/>
      <c r="J64" s="174"/>
      <c r="K64" s="182"/>
      <c r="L64" s="182"/>
      <c r="M64" s="182"/>
      <c r="N64" s="182"/>
      <c r="O64" s="182"/>
      <c r="P64" s="182"/>
      <c r="Q64" s="182"/>
      <c r="R64" s="182"/>
      <c r="S64" s="182"/>
      <c r="T64" s="182"/>
      <c r="U64" s="182"/>
      <c r="V64" s="182"/>
      <c r="W64" s="182"/>
      <c r="X64" s="182"/>
      <c r="Y64" s="182"/>
    </row>
    <row r="65" spans="1:25" ht="15" hidden="1" customHeight="1" x14ac:dyDescent="0.2">
      <c r="A65" s="182"/>
      <c r="B65" s="175"/>
      <c r="C65" s="176"/>
      <c r="D65" s="176"/>
      <c r="E65" s="176"/>
      <c r="F65" s="123"/>
      <c r="G65" s="123"/>
      <c r="H65" s="123"/>
      <c r="I65" s="123"/>
      <c r="J65" s="174"/>
      <c r="K65" s="182"/>
      <c r="L65" s="182"/>
      <c r="M65" s="182"/>
      <c r="N65" s="182"/>
      <c r="O65" s="182"/>
      <c r="P65" s="182"/>
      <c r="Q65" s="182"/>
      <c r="R65" s="182"/>
      <c r="S65" s="182"/>
      <c r="T65" s="182"/>
      <c r="U65" s="182"/>
      <c r="V65" s="182"/>
      <c r="W65" s="182"/>
      <c r="X65" s="182"/>
      <c r="Y65" s="182"/>
    </row>
    <row r="66" spans="1:25" ht="15" hidden="1" customHeight="1" x14ac:dyDescent="0.2">
      <c r="A66" s="182"/>
      <c r="B66" s="175"/>
      <c r="C66" s="176"/>
      <c r="D66" s="176"/>
      <c r="E66" s="176"/>
      <c r="F66" s="123"/>
      <c r="G66" s="123"/>
      <c r="H66" s="123"/>
      <c r="I66" s="123"/>
      <c r="J66" s="174"/>
      <c r="K66" s="182"/>
      <c r="L66" s="182"/>
      <c r="M66" s="182"/>
      <c r="N66" s="182"/>
      <c r="O66" s="182"/>
      <c r="P66" s="182"/>
      <c r="Q66" s="182"/>
      <c r="R66" s="182"/>
      <c r="S66" s="182"/>
      <c r="T66" s="182"/>
      <c r="U66" s="182"/>
      <c r="V66" s="182"/>
      <c r="W66" s="182"/>
      <c r="X66" s="182"/>
      <c r="Y66" s="182"/>
    </row>
    <row r="67" spans="1:25" ht="15" hidden="1" customHeight="1" x14ac:dyDescent="0.2">
      <c r="A67" s="182"/>
      <c r="B67" s="175"/>
      <c r="C67" s="176"/>
      <c r="D67" s="176"/>
      <c r="E67" s="176"/>
      <c r="F67" s="123"/>
      <c r="G67" s="123"/>
      <c r="H67" s="123"/>
      <c r="I67" s="123"/>
      <c r="J67" s="174"/>
      <c r="K67" s="182"/>
      <c r="L67" s="182"/>
      <c r="M67" s="182"/>
      <c r="N67" s="182"/>
      <c r="O67" s="182"/>
      <c r="P67" s="182"/>
      <c r="Q67" s="182"/>
      <c r="R67" s="182"/>
      <c r="S67" s="182"/>
      <c r="T67" s="182"/>
      <c r="U67" s="182"/>
      <c r="V67" s="182"/>
      <c r="W67" s="182"/>
      <c r="X67" s="182"/>
      <c r="Y67" s="182"/>
    </row>
    <row r="68" spans="1:25" ht="15.75" hidden="1" customHeight="1" x14ac:dyDescent="0.2">
      <c r="A68" s="182"/>
      <c r="B68" s="175"/>
      <c r="C68" s="176"/>
      <c r="D68" s="176"/>
      <c r="E68" s="176"/>
      <c r="F68" s="123"/>
      <c r="G68" s="123"/>
      <c r="H68" s="123"/>
      <c r="I68" s="123"/>
      <c r="J68" s="174"/>
      <c r="K68" s="182"/>
      <c r="L68" s="182"/>
      <c r="M68" s="182"/>
      <c r="N68" s="182"/>
      <c r="O68" s="182"/>
      <c r="P68" s="182"/>
      <c r="Q68" s="182"/>
      <c r="R68" s="182"/>
      <c r="S68" s="182"/>
      <c r="T68" s="182"/>
      <c r="U68" s="182"/>
      <c r="V68" s="182"/>
      <c r="W68" s="182"/>
      <c r="X68" s="182"/>
      <c r="Y68" s="182"/>
    </row>
    <row r="69" spans="1:25" ht="15.75" hidden="1" customHeight="1" x14ac:dyDescent="0.2">
      <c r="A69" s="182"/>
      <c r="B69" s="175"/>
      <c r="C69" s="176"/>
      <c r="D69" s="176"/>
      <c r="E69" s="176"/>
      <c r="F69" s="123"/>
      <c r="G69" s="123"/>
      <c r="H69" s="123"/>
      <c r="I69" s="123"/>
      <c r="J69" s="174"/>
      <c r="K69" s="182"/>
      <c r="L69" s="182"/>
      <c r="M69" s="182"/>
      <c r="N69" s="182"/>
      <c r="O69" s="182"/>
      <c r="P69" s="182"/>
      <c r="Q69" s="182"/>
      <c r="R69" s="182"/>
      <c r="S69" s="182"/>
      <c r="T69" s="182"/>
      <c r="U69" s="182"/>
      <c r="V69" s="182"/>
      <c r="W69" s="182"/>
      <c r="X69" s="182"/>
      <c r="Y69" s="182"/>
    </row>
    <row r="70" spans="1:25" ht="15.75" hidden="1" customHeight="1" x14ac:dyDescent="0.2">
      <c r="A70" s="182"/>
      <c r="B70" s="175"/>
      <c r="C70" s="176"/>
      <c r="D70" s="176"/>
      <c r="E70" s="176"/>
      <c r="F70" s="123"/>
      <c r="G70" s="123"/>
      <c r="H70" s="123"/>
      <c r="I70" s="123"/>
      <c r="J70" s="174"/>
      <c r="K70" s="182"/>
      <c r="L70" s="182"/>
      <c r="M70" s="182"/>
      <c r="N70" s="182"/>
      <c r="O70" s="182"/>
      <c r="P70" s="182"/>
      <c r="Q70" s="182"/>
      <c r="R70" s="182"/>
      <c r="S70" s="182"/>
      <c r="T70" s="182"/>
      <c r="U70" s="182"/>
      <c r="V70" s="182"/>
      <c r="W70" s="182"/>
      <c r="X70" s="182"/>
      <c r="Y70" s="182"/>
    </row>
    <row r="71" spans="1:25" ht="15.75" hidden="1" customHeight="1" x14ac:dyDescent="0.2">
      <c r="A71" s="182"/>
      <c r="B71" s="175"/>
      <c r="C71" s="176"/>
      <c r="D71" s="176"/>
      <c r="E71" s="176"/>
      <c r="F71" s="123"/>
      <c r="G71" s="123"/>
      <c r="H71" s="123"/>
      <c r="I71" s="123"/>
      <c r="J71" s="174"/>
      <c r="K71" s="182"/>
      <c r="L71" s="182"/>
      <c r="M71" s="182"/>
      <c r="N71" s="182"/>
      <c r="O71" s="182"/>
      <c r="P71" s="182"/>
      <c r="Q71" s="182"/>
      <c r="R71" s="182"/>
      <c r="S71" s="182"/>
      <c r="T71" s="182"/>
      <c r="U71" s="182"/>
      <c r="V71" s="182"/>
      <c r="W71" s="182"/>
      <c r="X71" s="182"/>
      <c r="Y71" s="182"/>
    </row>
    <row r="72" spans="1:25" ht="15.75" hidden="1" customHeight="1" x14ac:dyDescent="0.2">
      <c r="A72" s="182"/>
      <c r="B72" s="175"/>
      <c r="C72" s="176"/>
      <c r="D72" s="176"/>
      <c r="E72" s="176"/>
      <c r="F72" s="123"/>
      <c r="G72" s="123"/>
      <c r="H72" s="123"/>
      <c r="I72" s="123"/>
      <c r="J72" s="174"/>
      <c r="K72" s="182"/>
      <c r="L72" s="182"/>
      <c r="M72" s="182"/>
      <c r="N72" s="182"/>
      <c r="O72" s="182"/>
      <c r="P72" s="182"/>
      <c r="Q72" s="182"/>
      <c r="R72" s="182"/>
      <c r="S72" s="182"/>
      <c r="T72" s="182"/>
      <c r="U72" s="182"/>
      <c r="V72" s="182"/>
      <c r="W72" s="182"/>
      <c r="X72" s="182"/>
      <c r="Y72" s="182"/>
    </row>
    <row r="73" spans="1:25" ht="15.75" hidden="1" customHeight="1" x14ac:dyDescent="0.2">
      <c r="A73" s="182"/>
      <c r="B73" s="175"/>
      <c r="C73" s="176"/>
      <c r="D73" s="176"/>
      <c r="E73" s="176"/>
      <c r="F73" s="123"/>
      <c r="G73" s="123"/>
      <c r="H73" s="123"/>
      <c r="I73" s="123"/>
      <c r="J73" s="174"/>
      <c r="K73" s="182"/>
      <c r="L73" s="182"/>
      <c r="M73" s="182"/>
      <c r="N73" s="182"/>
      <c r="O73" s="182"/>
      <c r="P73" s="182"/>
      <c r="Q73" s="182"/>
      <c r="R73" s="182"/>
      <c r="S73" s="182"/>
      <c r="T73" s="182"/>
      <c r="U73" s="182"/>
      <c r="V73" s="182"/>
      <c r="W73" s="182"/>
      <c r="X73" s="182"/>
      <c r="Y73" s="182"/>
    </row>
    <row r="74" spans="1:25" ht="15.75" hidden="1" customHeight="1" x14ac:dyDescent="0.2">
      <c r="A74" s="182"/>
      <c r="B74" s="175"/>
      <c r="C74" s="176"/>
      <c r="D74" s="176"/>
      <c r="E74" s="176"/>
      <c r="F74" s="123"/>
      <c r="G74" s="123"/>
      <c r="H74" s="123"/>
      <c r="I74" s="123"/>
      <c r="J74" s="174"/>
      <c r="K74" s="182"/>
      <c r="L74" s="182"/>
      <c r="M74" s="182"/>
      <c r="N74" s="182"/>
      <c r="O74" s="182"/>
      <c r="P74" s="182"/>
      <c r="Q74" s="182"/>
      <c r="R74" s="182"/>
      <c r="S74" s="182"/>
      <c r="T74" s="182"/>
      <c r="U74" s="182"/>
      <c r="V74" s="182"/>
      <c r="W74" s="182"/>
      <c r="X74" s="182"/>
      <c r="Y74" s="182"/>
    </row>
    <row r="75" spans="1:25" ht="15.75" hidden="1" customHeight="1" x14ac:dyDescent="0.2">
      <c r="A75" s="182"/>
      <c r="B75" s="175"/>
      <c r="C75" s="176"/>
      <c r="D75" s="176"/>
      <c r="E75" s="176"/>
      <c r="F75" s="123"/>
      <c r="G75" s="123"/>
      <c r="H75" s="123"/>
      <c r="I75" s="123"/>
      <c r="J75" s="174"/>
      <c r="K75" s="182"/>
      <c r="L75" s="182"/>
      <c r="M75" s="182"/>
      <c r="N75" s="182"/>
      <c r="O75" s="182"/>
      <c r="P75" s="182"/>
      <c r="Q75" s="182"/>
      <c r="R75" s="182"/>
      <c r="S75" s="182"/>
      <c r="T75" s="182"/>
      <c r="U75" s="182"/>
      <c r="V75" s="182"/>
      <c r="W75" s="182"/>
      <c r="X75" s="182"/>
      <c r="Y75" s="182"/>
    </row>
    <row r="76" spans="1:25" ht="15.75" hidden="1" customHeight="1" x14ac:dyDescent="0.2">
      <c r="A76" s="182"/>
      <c r="B76" s="175"/>
      <c r="C76" s="176"/>
      <c r="D76" s="176"/>
      <c r="E76" s="176"/>
      <c r="F76" s="123"/>
      <c r="G76" s="123"/>
      <c r="H76" s="123"/>
      <c r="I76" s="123"/>
      <c r="J76" s="174"/>
      <c r="K76" s="182"/>
      <c r="L76" s="182"/>
      <c r="M76" s="182"/>
      <c r="N76" s="182"/>
      <c r="O76" s="182"/>
      <c r="P76" s="182"/>
      <c r="Q76" s="182"/>
      <c r="R76" s="182"/>
      <c r="S76" s="182"/>
      <c r="T76" s="182"/>
      <c r="U76" s="182"/>
      <c r="V76" s="182"/>
      <c r="W76" s="182"/>
      <c r="X76" s="182"/>
      <c r="Y76" s="182"/>
    </row>
    <row r="77" spans="1:25" ht="15.75" hidden="1" customHeight="1" x14ac:dyDescent="0.2">
      <c r="A77" s="182"/>
      <c r="B77" s="175"/>
      <c r="C77" s="176"/>
      <c r="D77" s="176"/>
      <c r="E77" s="176"/>
      <c r="F77" s="123"/>
      <c r="G77" s="123"/>
      <c r="H77" s="123"/>
      <c r="I77" s="123"/>
      <c r="J77" s="174"/>
      <c r="K77" s="182"/>
      <c r="L77" s="182"/>
      <c r="M77" s="182"/>
      <c r="N77" s="182"/>
      <c r="O77" s="182"/>
      <c r="P77" s="182"/>
      <c r="Q77" s="182"/>
      <c r="R77" s="182"/>
      <c r="S77" s="182"/>
      <c r="T77" s="182"/>
      <c r="U77" s="182"/>
      <c r="V77" s="182"/>
      <c r="W77" s="182"/>
      <c r="X77" s="182"/>
      <c r="Y77" s="182"/>
    </row>
    <row r="78" spans="1:25" ht="15.75" hidden="1" customHeight="1" x14ac:dyDescent="0.2">
      <c r="A78" s="182"/>
      <c r="B78" s="175"/>
      <c r="C78" s="176"/>
      <c r="D78" s="176"/>
      <c r="E78" s="176"/>
      <c r="F78" s="123"/>
      <c r="G78" s="123"/>
      <c r="H78" s="123"/>
      <c r="I78" s="123"/>
      <c r="J78" s="174"/>
      <c r="K78" s="182"/>
      <c r="L78" s="182"/>
      <c r="M78" s="182"/>
      <c r="N78" s="182"/>
      <c r="O78" s="182"/>
      <c r="P78" s="182"/>
      <c r="Q78" s="182"/>
      <c r="R78" s="182"/>
      <c r="S78" s="182"/>
      <c r="T78" s="182"/>
      <c r="U78" s="182"/>
      <c r="V78" s="182"/>
      <c r="W78" s="182"/>
      <c r="X78" s="182"/>
      <c r="Y78" s="182"/>
    </row>
    <row r="79" spans="1:25" ht="15.75" hidden="1" customHeight="1" x14ac:dyDescent="0.2">
      <c r="A79" s="182"/>
      <c r="B79" s="175"/>
      <c r="C79" s="176"/>
      <c r="D79" s="176"/>
      <c r="E79" s="176"/>
      <c r="F79" s="123"/>
      <c r="G79" s="123"/>
      <c r="H79" s="123"/>
      <c r="I79" s="123"/>
      <c r="J79" s="174"/>
      <c r="K79" s="182"/>
      <c r="L79" s="182"/>
      <c r="M79" s="182"/>
      <c r="N79" s="182"/>
      <c r="O79" s="182"/>
      <c r="P79" s="182"/>
      <c r="Q79" s="182"/>
      <c r="R79" s="182"/>
      <c r="S79" s="182"/>
      <c r="T79" s="182"/>
      <c r="U79" s="182"/>
      <c r="V79" s="182"/>
      <c r="W79" s="182"/>
      <c r="X79" s="182"/>
      <c r="Y79" s="182"/>
    </row>
    <row r="80" spans="1:25" ht="15.75" hidden="1" customHeight="1" x14ac:dyDescent="0.2">
      <c r="A80" s="182"/>
      <c r="B80" s="175"/>
      <c r="C80" s="176"/>
      <c r="D80" s="176"/>
      <c r="E80" s="176"/>
      <c r="F80" s="123"/>
      <c r="G80" s="123"/>
      <c r="H80" s="123"/>
      <c r="I80" s="123"/>
      <c r="J80" s="174"/>
      <c r="K80" s="182"/>
      <c r="L80" s="182"/>
      <c r="M80" s="182"/>
      <c r="N80" s="182"/>
      <c r="O80" s="182"/>
      <c r="P80" s="182"/>
      <c r="Q80" s="182"/>
      <c r="R80" s="182"/>
      <c r="S80" s="182"/>
      <c r="T80" s="182"/>
      <c r="U80" s="182"/>
      <c r="V80" s="182"/>
      <c r="W80" s="182"/>
      <c r="X80" s="182"/>
      <c r="Y80" s="182"/>
    </row>
    <row r="81" spans="1:25" ht="15.75" hidden="1" customHeight="1" x14ac:dyDescent="0.2">
      <c r="A81" s="182"/>
      <c r="B81" s="175"/>
      <c r="C81" s="176"/>
      <c r="D81" s="176"/>
      <c r="E81" s="176"/>
      <c r="F81" s="123"/>
      <c r="G81" s="123"/>
      <c r="H81" s="123"/>
      <c r="I81" s="123"/>
      <c r="J81" s="174"/>
      <c r="K81" s="182"/>
      <c r="L81" s="182"/>
      <c r="M81" s="182"/>
      <c r="N81" s="182"/>
      <c r="O81" s="182"/>
      <c r="P81" s="182"/>
      <c r="Q81" s="182"/>
      <c r="R81" s="182"/>
      <c r="S81" s="182"/>
      <c r="T81" s="182"/>
      <c r="U81" s="182"/>
      <c r="V81" s="182"/>
      <c r="W81" s="182"/>
      <c r="X81" s="182"/>
      <c r="Y81" s="182"/>
    </row>
    <row r="82" spans="1:25" ht="15.75" hidden="1" customHeight="1" x14ac:dyDescent="0.2">
      <c r="A82" s="182"/>
      <c r="B82" s="175"/>
      <c r="C82" s="176"/>
      <c r="D82" s="176"/>
      <c r="E82" s="176"/>
      <c r="F82" s="123"/>
      <c r="G82" s="123"/>
      <c r="H82" s="123"/>
      <c r="I82" s="123"/>
      <c r="J82" s="174"/>
      <c r="K82" s="182"/>
      <c r="L82" s="182"/>
      <c r="M82" s="182"/>
      <c r="N82" s="182"/>
      <c r="O82" s="182"/>
      <c r="P82" s="182"/>
      <c r="Q82" s="182"/>
      <c r="R82" s="182"/>
      <c r="S82" s="182"/>
      <c r="T82" s="182"/>
      <c r="U82" s="182"/>
      <c r="V82" s="182"/>
      <c r="W82" s="182"/>
      <c r="X82" s="182"/>
      <c r="Y82" s="182"/>
    </row>
    <row r="83" spans="1:25" ht="15.75" hidden="1" customHeight="1" x14ac:dyDescent="0.2">
      <c r="A83" s="182"/>
      <c r="B83" s="175"/>
      <c r="C83" s="176"/>
      <c r="D83" s="176"/>
      <c r="E83" s="176"/>
      <c r="F83" s="123"/>
      <c r="G83" s="123"/>
      <c r="H83" s="123"/>
      <c r="I83" s="123"/>
      <c r="J83" s="174"/>
      <c r="K83" s="182"/>
      <c r="L83" s="182"/>
      <c r="M83" s="182"/>
      <c r="N83" s="182"/>
      <c r="O83" s="182"/>
      <c r="P83" s="182"/>
      <c r="Q83" s="182"/>
      <c r="R83" s="182"/>
      <c r="S83" s="182"/>
      <c r="T83" s="182"/>
      <c r="U83" s="182"/>
      <c r="V83" s="182"/>
      <c r="W83" s="182"/>
      <c r="X83" s="182"/>
      <c r="Y83" s="182"/>
    </row>
    <row r="84" spans="1:25" ht="15.75" hidden="1" customHeight="1" x14ac:dyDescent="0.2">
      <c r="A84" s="182"/>
      <c r="B84" s="175"/>
      <c r="C84" s="176"/>
      <c r="D84" s="176"/>
      <c r="E84" s="176"/>
      <c r="F84" s="123"/>
      <c r="G84" s="123"/>
      <c r="H84" s="123"/>
      <c r="I84" s="123"/>
      <c r="J84" s="174"/>
      <c r="K84" s="182"/>
      <c r="L84" s="182"/>
      <c r="M84" s="182"/>
      <c r="N84" s="182"/>
      <c r="O84" s="182"/>
      <c r="P84" s="182"/>
      <c r="Q84" s="182"/>
      <c r="R84" s="182"/>
      <c r="S84" s="182"/>
      <c r="T84" s="182"/>
      <c r="U84" s="182"/>
      <c r="V84" s="182"/>
      <c r="W84" s="182"/>
      <c r="X84" s="182"/>
      <c r="Y84" s="182"/>
    </row>
    <row r="85" spans="1:25" ht="15.75" hidden="1" customHeight="1" x14ac:dyDescent="0.2">
      <c r="A85" s="182"/>
      <c r="B85" s="175"/>
      <c r="C85" s="176"/>
      <c r="D85" s="176"/>
      <c r="E85" s="176"/>
      <c r="F85" s="123"/>
      <c r="G85" s="123"/>
      <c r="H85" s="123"/>
      <c r="I85" s="123"/>
      <c r="J85" s="174"/>
      <c r="K85" s="182"/>
      <c r="L85" s="182"/>
      <c r="M85" s="182"/>
      <c r="N85" s="182"/>
      <c r="O85" s="182"/>
      <c r="P85" s="182"/>
      <c r="Q85" s="182"/>
      <c r="R85" s="182"/>
      <c r="S85" s="182"/>
      <c r="T85" s="182"/>
      <c r="U85" s="182"/>
      <c r="V85" s="182"/>
      <c r="W85" s="182"/>
      <c r="X85" s="182"/>
      <c r="Y85" s="182"/>
    </row>
    <row r="86" spans="1:25" ht="15.75" hidden="1" customHeight="1" x14ac:dyDescent="0.2">
      <c r="A86" s="182"/>
      <c r="B86" s="175"/>
      <c r="C86" s="176"/>
      <c r="D86" s="176"/>
      <c r="E86" s="176"/>
      <c r="F86" s="123"/>
      <c r="G86" s="123"/>
      <c r="H86" s="123"/>
      <c r="I86" s="123"/>
      <c r="J86" s="174"/>
      <c r="K86" s="182"/>
      <c r="L86" s="182"/>
      <c r="M86" s="182"/>
      <c r="N86" s="182"/>
      <c r="O86" s="182"/>
      <c r="P86" s="182"/>
      <c r="Q86" s="182"/>
      <c r="R86" s="182"/>
      <c r="S86" s="182"/>
      <c r="T86" s="182"/>
      <c r="U86" s="182"/>
      <c r="V86" s="182"/>
      <c r="W86" s="182"/>
      <c r="X86" s="182"/>
      <c r="Y86" s="182"/>
    </row>
    <row r="87" spans="1:25" ht="15.75" hidden="1" customHeight="1" x14ac:dyDescent="0.2">
      <c r="A87" s="182"/>
      <c r="B87" s="175"/>
      <c r="C87" s="176"/>
      <c r="D87" s="176"/>
      <c r="E87" s="176"/>
      <c r="F87" s="123"/>
      <c r="G87" s="123"/>
      <c r="H87" s="123"/>
      <c r="I87" s="123"/>
      <c r="J87" s="174"/>
      <c r="K87" s="182"/>
      <c r="L87" s="182"/>
      <c r="M87" s="182"/>
      <c r="N87" s="182"/>
      <c r="O87" s="182"/>
      <c r="P87" s="182"/>
      <c r="Q87" s="182"/>
      <c r="R87" s="182"/>
      <c r="S87" s="182"/>
      <c r="T87" s="182"/>
      <c r="U87" s="182"/>
      <c r="V87" s="182"/>
      <c r="W87" s="182"/>
      <c r="X87" s="182"/>
      <c r="Y87" s="182"/>
    </row>
    <row r="88" spans="1:25" ht="15.75" hidden="1" customHeight="1" x14ac:dyDescent="0.2">
      <c r="A88" s="182"/>
      <c r="B88" s="175"/>
      <c r="C88" s="176"/>
      <c r="D88" s="176"/>
      <c r="E88" s="176"/>
      <c r="F88" s="123"/>
      <c r="G88" s="123"/>
      <c r="H88" s="123"/>
      <c r="I88" s="123"/>
      <c r="J88" s="174"/>
      <c r="K88" s="182"/>
      <c r="L88" s="182"/>
      <c r="M88" s="182"/>
      <c r="N88" s="182"/>
      <c r="O88" s="182"/>
      <c r="P88" s="182"/>
      <c r="Q88" s="182"/>
      <c r="R88" s="182"/>
      <c r="S88" s="182"/>
      <c r="T88" s="182"/>
      <c r="U88" s="182"/>
      <c r="V88" s="182"/>
      <c r="W88" s="182"/>
      <c r="X88" s="182"/>
      <c r="Y88" s="182"/>
    </row>
    <row r="89" spans="1:25" ht="15.75" hidden="1" customHeight="1" x14ac:dyDescent="0.2">
      <c r="A89" s="182"/>
      <c r="B89" s="175"/>
      <c r="C89" s="176"/>
      <c r="D89" s="176"/>
      <c r="E89" s="176"/>
      <c r="F89" s="123"/>
      <c r="G89" s="123"/>
      <c r="H89" s="123"/>
      <c r="I89" s="123"/>
      <c r="J89" s="174"/>
      <c r="K89" s="182"/>
      <c r="L89" s="182"/>
      <c r="M89" s="182"/>
      <c r="N89" s="182"/>
      <c r="O89" s="182"/>
      <c r="P89" s="182"/>
      <c r="Q89" s="182"/>
      <c r="R89" s="182"/>
      <c r="S89" s="182"/>
      <c r="T89" s="182"/>
      <c r="U89" s="182"/>
      <c r="V89" s="182"/>
      <c r="W89" s="182"/>
      <c r="X89" s="182"/>
      <c r="Y89" s="182"/>
    </row>
    <row r="90" spans="1:25" ht="15.75" hidden="1" customHeight="1" x14ac:dyDescent="0.2">
      <c r="A90" s="182"/>
      <c r="B90" s="175"/>
      <c r="C90" s="176"/>
      <c r="D90" s="176"/>
      <c r="E90" s="176"/>
      <c r="F90" s="123"/>
      <c r="G90" s="123"/>
      <c r="H90" s="123"/>
      <c r="I90" s="123"/>
      <c r="J90" s="174"/>
      <c r="K90" s="182"/>
      <c r="L90" s="182"/>
      <c r="M90" s="182"/>
      <c r="N90" s="182"/>
      <c r="O90" s="182"/>
      <c r="P90" s="182"/>
      <c r="Q90" s="182"/>
      <c r="R90" s="182"/>
      <c r="S90" s="182"/>
      <c r="T90" s="182"/>
      <c r="U90" s="182"/>
      <c r="V90" s="182"/>
      <c r="W90" s="182"/>
      <c r="X90" s="182"/>
      <c r="Y90" s="182"/>
    </row>
    <row r="91" spans="1:25" ht="15.75" hidden="1" customHeight="1" x14ac:dyDescent="0.2">
      <c r="A91" s="182"/>
      <c r="B91" s="175"/>
      <c r="C91" s="176"/>
      <c r="D91" s="176"/>
      <c r="E91" s="176"/>
      <c r="F91" s="123"/>
      <c r="G91" s="123"/>
      <c r="H91" s="123"/>
      <c r="I91" s="123"/>
      <c r="J91" s="174"/>
      <c r="K91" s="182"/>
      <c r="L91" s="182"/>
      <c r="M91" s="182"/>
      <c r="N91" s="182"/>
      <c r="O91" s="182"/>
      <c r="P91" s="182"/>
      <c r="Q91" s="182"/>
      <c r="R91" s="182"/>
      <c r="S91" s="182"/>
      <c r="T91" s="182"/>
      <c r="U91" s="182"/>
      <c r="V91" s="182"/>
      <c r="W91" s="182"/>
      <c r="X91" s="182"/>
      <c r="Y91" s="182"/>
    </row>
    <row r="92" spans="1:25" ht="15.75" hidden="1" customHeight="1" x14ac:dyDescent="0.2">
      <c r="A92" s="182"/>
      <c r="B92" s="175"/>
      <c r="C92" s="176"/>
      <c r="D92" s="176"/>
      <c r="E92" s="176"/>
      <c r="F92" s="123"/>
      <c r="G92" s="123"/>
      <c r="H92" s="123"/>
      <c r="I92" s="123"/>
      <c r="J92" s="174"/>
      <c r="K92" s="182"/>
      <c r="L92" s="182"/>
      <c r="M92" s="182"/>
      <c r="N92" s="182"/>
      <c r="O92" s="182"/>
      <c r="P92" s="182"/>
      <c r="Q92" s="182"/>
      <c r="R92" s="182"/>
      <c r="S92" s="182"/>
      <c r="T92" s="182"/>
      <c r="U92" s="182"/>
      <c r="V92" s="182"/>
      <c r="W92" s="182"/>
      <c r="X92" s="182"/>
      <c r="Y92" s="182"/>
    </row>
    <row r="93" spans="1:25" ht="15.75" hidden="1" customHeight="1" x14ac:dyDescent="0.2">
      <c r="A93" s="182"/>
      <c r="B93" s="175"/>
      <c r="C93" s="176"/>
      <c r="D93" s="176"/>
      <c r="E93" s="176"/>
      <c r="F93" s="123"/>
      <c r="G93" s="123"/>
      <c r="H93" s="123"/>
      <c r="I93" s="123"/>
      <c r="J93" s="174"/>
      <c r="K93" s="182"/>
      <c r="L93" s="182"/>
      <c r="M93" s="182"/>
      <c r="N93" s="182"/>
      <c r="O93" s="182"/>
      <c r="P93" s="182"/>
      <c r="Q93" s="182"/>
      <c r="R93" s="182"/>
      <c r="S93" s="182"/>
      <c r="T93" s="182"/>
      <c r="U93" s="182"/>
      <c r="V93" s="182"/>
      <c r="W93" s="182"/>
      <c r="X93" s="182"/>
      <c r="Y93" s="182"/>
    </row>
    <row r="94" spans="1:25" ht="15.75" hidden="1" customHeight="1" x14ac:dyDescent="0.2">
      <c r="A94" s="182"/>
      <c r="B94" s="175"/>
      <c r="C94" s="176"/>
      <c r="D94" s="176"/>
      <c r="E94" s="176"/>
      <c r="F94" s="123"/>
      <c r="G94" s="123"/>
      <c r="H94" s="123"/>
      <c r="I94" s="123"/>
      <c r="J94" s="174"/>
      <c r="K94" s="182"/>
      <c r="L94" s="182"/>
      <c r="M94" s="182"/>
      <c r="N94" s="182"/>
      <c r="O94" s="182"/>
      <c r="P94" s="182"/>
      <c r="Q94" s="182"/>
      <c r="R94" s="182"/>
      <c r="S94" s="182"/>
      <c r="T94" s="182"/>
      <c r="U94" s="182"/>
      <c r="V94" s="182"/>
      <c r="W94" s="182"/>
      <c r="X94" s="182"/>
      <c r="Y94" s="182"/>
    </row>
    <row r="95" spans="1:25" ht="15.75" hidden="1" customHeight="1" x14ac:dyDescent="0.2">
      <c r="A95" s="182"/>
      <c r="B95" s="175"/>
      <c r="C95" s="176"/>
      <c r="D95" s="176"/>
      <c r="E95" s="176"/>
      <c r="F95" s="123"/>
      <c r="G95" s="123"/>
      <c r="H95" s="123"/>
      <c r="I95" s="123"/>
      <c r="J95" s="174"/>
      <c r="K95" s="182"/>
      <c r="L95" s="182"/>
      <c r="M95" s="182"/>
      <c r="N95" s="182"/>
      <c r="O95" s="182"/>
      <c r="P95" s="182"/>
      <c r="Q95" s="182"/>
      <c r="R95" s="182"/>
      <c r="S95" s="182"/>
      <c r="T95" s="182"/>
      <c r="U95" s="182"/>
      <c r="V95" s="182"/>
      <c r="W95" s="182"/>
      <c r="X95" s="182"/>
      <c r="Y95" s="182"/>
    </row>
    <row r="96" spans="1:25" ht="15.75" hidden="1" customHeight="1" x14ac:dyDescent="0.2">
      <c r="A96" s="182"/>
      <c r="B96" s="175"/>
      <c r="C96" s="176"/>
      <c r="D96" s="176"/>
      <c r="E96" s="176"/>
      <c r="F96" s="123"/>
      <c r="G96" s="123"/>
      <c r="H96" s="123"/>
      <c r="I96" s="123"/>
      <c r="J96" s="174"/>
      <c r="K96" s="182"/>
      <c r="L96" s="182"/>
      <c r="M96" s="182"/>
      <c r="N96" s="182"/>
      <c r="O96" s="182"/>
      <c r="P96" s="182"/>
      <c r="Q96" s="182"/>
      <c r="R96" s="182"/>
      <c r="S96" s="182"/>
      <c r="T96" s="182"/>
      <c r="U96" s="182"/>
      <c r="V96" s="182"/>
      <c r="W96" s="182"/>
      <c r="X96" s="182"/>
      <c r="Y96" s="182"/>
    </row>
    <row r="97" spans="1:25" ht="15.75" hidden="1" customHeight="1" x14ac:dyDescent="0.2">
      <c r="A97" s="182"/>
      <c r="B97" s="175"/>
      <c r="C97" s="176"/>
      <c r="D97" s="176"/>
      <c r="E97" s="176"/>
      <c r="F97" s="123"/>
      <c r="G97" s="123"/>
      <c r="H97" s="123"/>
      <c r="I97" s="123"/>
      <c r="J97" s="174"/>
      <c r="K97" s="182"/>
      <c r="L97" s="182"/>
      <c r="M97" s="182"/>
      <c r="N97" s="182"/>
      <c r="O97" s="182"/>
      <c r="P97" s="182"/>
      <c r="Q97" s="182"/>
      <c r="R97" s="182"/>
      <c r="S97" s="182"/>
      <c r="T97" s="182"/>
      <c r="U97" s="182"/>
      <c r="V97" s="182"/>
      <c r="W97" s="182"/>
      <c r="X97" s="182"/>
      <c r="Y97" s="182"/>
    </row>
    <row r="98" spans="1:25" ht="15.75" hidden="1" customHeight="1" x14ac:dyDescent="0.2">
      <c r="A98" s="182"/>
      <c r="B98" s="175"/>
      <c r="C98" s="176"/>
      <c r="D98" s="176"/>
      <c r="E98" s="176"/>
      <c r="F98" s="123"/>
      <c r="G98" s="123"/>
      <c r="H98" s="123"/>
      <c r="I98" s="123"/>
      <c r="J98" s="174"/>
      <c r="K98" s="182"/>
      <c r="L98" s="182"/>
      <c r="M98" s="182"/>
      <c r="N98" s="182"/>
      <c r="O98" s="182"/>
      <c r="P98" s="182"/>
      <c r="Q98" s="182"/>
      <c r="R98" s="182"/>
      <c r="S98" s="182"/>
      <c r="T98" s="182"/>
      <c r="U98" s="182"/>
      <c r="V98" s="182"/>
      <c r="W98" s="182"/>
      <c r="X98" s="182"/>
      <c r="Y98" s="182"/>
    </row>
    <row r="99" spans="1:25" ht="15.75" hidden="1" customHeight="1" x14ac:dyDescent="0.2">
      <c r="A99" s="182"/>
      <c r="B99" s="175"/>
      <c r="C99" s="176"/>
      <c r="D99" s="176"/>
      <c r="E99" s="176"/>
      <c r="F99" s="123"/>
      <c r="G99" s="123"/>
      <c r="H99" s="123"/>
      <c r="I99" s="123"/>
      <c r="J99" s="174"/>
      <c r="K99" s="182"/>
      <c r="L99" s="182"/>
      <c r="M99" s="182"/>
      <c r="N99" s="182"/>
      <c r="O99" s="182"/>
      <c r="P99" s="182"/>
      <c r="Q99" s="182"/>
      <c r="R99" s="182"/>
      <c r="S99" s="182"/>
      <c r="T99" s="182"/>
      <c r="U99" s="182"/>
      <c r="V99" s="182"/>
      <c r="W99" s="182"/>
      <c r="X99" s="182"/>
      <c r="Y99" s="182"/>
    </row>
    <row r="100" spans="1:25" ht="15.75" hidden="1" customHeight="1" x14ac:dyDescent="0.2">
      <c r="A100" s="182"/>
      <c r="B100" s="175"/>
      <c r="C100" s="176"/>
      <c r="D100" s="176"/>
      <c r="E100" s="176"/>
      <c r="F100" s="123"/>
      <c r="G100" s="123"/>
      <c r="H100" s="123"/>
      <c r="I100" s="123"/>
      <c r="J100" s="174"/>
      <c r="K100" s="182"/>
      <c r="L100" s="182"/>
      <c r="M100" s="182"/>
      <c r="N100" s="182"/>
      <c r="O100" s="182"/>
      <c r="P100" s="182"/>
      <c r="Q100" s="182"/>
      <c r="R100" s="182"/>
      <c r="S100" s="182"/>
      <c r="T100" s="182"/>
      <c r="U100" s="182"/>
      <c r="V100" s="182"/>
      <c r="W100" s="182"/>
      <c r="X100" s="182"/>
      <c r="Y100" s="182"/>
    </row>
    <row r="101" spans="1:25" ht="15.75" hidden="1" customHeight="1" x14ac:dyDescent="0.2">
      <c r="A101" s="182"/>
      <c r="B101" s="175"/>
      <c r="C101" s="176"/>
      <c r="D101" s="176"/>
      <c r="E101" s="176"/>
      <c r="F101" s="123"/>
      <c r="G101" s="123"/>
      <c r="H101" s="123"/>
      <c r="I101" s="123"/>
      <c r="J101" s="174"/>
      <c r="K101" s="182"/>
      <c r="L101" s="182"/>
      <c r="M101" s="182"/>
      <c r="N101" s="182"/>
      <c r="O101" s="182"/>
      <c r="P101" s="182"/>
      <c r="Q101" s="182"/>
      <c r="R101" s="182"/>
      <c r="S101" s="182"/>
      <c r="T101" s="182"/>
      <c r="U101" s="182"/>
      <c r="V101" s="182"/>
      <c r="W101" s="182"/>
      <c r="X101" s="182"/>
      <c r="Y101" s="182"/>
    </row>
    <row r="102" spans="1:25" ht="15.75" hidden="1" customHeight="1" x14ac:dyDescent="0.2">
      <c r="A102" s="182"/>
      <c r="B102" s="175"/>
      <c r="C102" s="176"/>
      <c r="D102" s="176"/>
      <c r="E102" s="176"/>
      <c r="F102" s="123"/>
      <c r="G102" s="123"/>
      <c r="H102" s="123"/>
      <c r="I102" s="123"/>
      <c r="J102" s="174"/>
      <c r="K102" s="182"/>
      <c r="L102" s="182"/>
      <c r="M102" s="182"/>
      <c r="N102" s="182"/>
      <c r="O102" s="182"/>
      <c r="P102" s="182"/>
      <c r="Q102" s="182"/>
      <c r="R102" s="182"/>
      <c r="S102" s="182"/>
      <c r="T102" s="182"/>
      <c r="U102" s="182"/>
      <c r="V102" s="182"/>
      <c r="W102" s="182"/>
      <c r="X102" s="182"/>
      <c r="Y102" s="182"/>
    </row>
    <row r="103" spans="1:25" ht="15.75" hidden="1" customHeight="1" x14ac:dyDescent="0.2">
      <c r="A103" s="182"/>
      <c r="B103" s="175"/>
      <c r="C103" s="176"/>
      <c r="D103" s="176"/>
      <c r="E103" s="176"/>
      <c r="F103" s="123"/>
      <c r="G103" s="123"/>
      <c r="H103" s="123"/>
      <c r="I103" s="123"/>
      <c r="J103" s="174"/>
      <c r="K103" s="182"/>
      <c r="L103" s="182"/>
      <c r="M103" s="182"/>
      <c r="N103" s="182"/>
      <c r="O103" s="182"/>
      <c r="P103" s="182"/>
      <c r="Q103" s="182"/>
      <c r="R103" s="182"/>
      <c r="S103" s="182"/>
      <c r="T103" s="182"/>
      <c r="U103" s="182"/>
      <c r="V103" s="182"/>
      <c r="W103" s="182"/>
      <c r="X103" s="182"/>
      <c r="Y103" s="182"/>
    </row>
    <row r="104" spans="1:25" ht="15.75" hidden="1" customHeight="1" x14ac:dyDescent="0.2">
      <c r="A104" s="182"/>
      <c r="B104" s="175"/>
      <c r="C104" s="176"/>
      <c r="D104" s="176"/>
      <c r="E104" s="176"/>
      <c r="F104" s="123"/>
      <c r="G104" s="123"/>
      <c r="H104" s="123"/>
      <c r="I104" s="123"/>
      <c r="J104" s="174"/>
      <c r="K104" s="182"/>
      <c r="L104" s="182"/>
      <c r="M104" s="182"/>
      <c r="N104" s="182"/>
      <c r="O104" s="182"/>
      <c r="P104" s="182"/>
      <c r="Q104" s="182"/>
      <c r="R104" s="182"/>
      <c r="S104" s="182"/>
      <c r="T104" s="182"/>
      <c r="U104" s="182"/>
      <c r="V104" s="182"/>
      <c r="W104" s="182"/>
      <c r="X104" s="182"/>
      <c r="Y104" s="182"/>
    </row>
    <row r="105" spans="1:25" ht="15.75" hidden="1" customHeight="1" x14ac:dyDescent="0.2">
      <c r="A105" s="182"/>
      <c r="B105" s="175"/>
      <c r="C105" s="176"/>
      <c r="D105" s="176"/>
      <c r="E105" s="176"/>
      <c r="F105" s="123"/>
      <c r="G105" s="123"/>
      <c r="H105" s="123"/>
      <c r="I105" s="123"/>
      <c r="J105" s="174"/>
      <c r="K105" s="182"/>
      <c r="L105" s="182"/>
      <c r="M105" s="182"/>
      <c r="N105" s="182"/>
      <c r="O105" s="182"/>
      <c r="P105" s="182"/>
      <c r="Q105" s="182"/>
      <c r="R105" s="182"/>
      <c r="S105" s="182"/>
      <c r="T105" s="182"/>
      <c r="U105" s="182"/>
      <c r="V105" s="182"/>
      <c r="W105" s="182"/>
      <c r="X105" s="182"/>
      <c r="Y105" s="182"/>
    </row>
    <row r="106" spans="1:25" ht="15.75" hidden="1" customHeight="1" x14ac:dyDescent="0.2">
      <c r="A106" s="182"/>
      <c r="B106" s="175"/>
      <c r="C106" s="176"/>
      <c r="D106" s="176"/>
      <c r="E106" s="176"/>
      <c r="F106" s="123"/>
      <c r="G106" s="123"/>
      <c r="H106" s="123"/>
      <c r="I106" s="123"/>
      <c r="J106" s="174"/>
      <c r="K106" s="182"/>
      <c r="L106" s="182"/>
      <c r="M106" s="182"/>
      <c r="N106" s="182"/>
      <c r="O106" s="182"/>
      <c r="P106" s="182"/>
      <c r="Q106" s="182"/>
      <c r="R106" s="182"/>
      <c r="S106" s="182"/>
      <c r="T106" s="182"/>
      <c r="U106" s="182"/>
      <c r="V106" s="182"/>
      <c r="W106" s="182"/>
      <c r="X106" s="182"/>
      <c r="Y106" s="182"/>
    </row>
    <row r="107" spans="1:25" ht="15.75" hidden="1" customHeight="1" x14ac:dyDescent="0.2">
      <c r="A107" s="182"/>
      <c r="B107" s="175"/>
      <c r="C107" s="176"/>
      <c r="D107" s="176"/>
      <c r="E107" s="176"/>
      <c r="F107" s="123"/>
      <c r="G107" s="123"/>
      <c r="H107" s="123"/>
      <c r="I107" s="123"/>
      <c r="J107" s="174"/>
      <c r="K107" s="182"/>
      <c r="L107" s="182"/>
      <c r="M107" s="182"/>
      <c r="N107" s="182"/>
      <c r="O107" s="182"/>
      <c r="P107" s="182"/>
      <c r="Q107" s="182"/>
      <c r="R107" s="182"/>
      <c r="S107" s="182"/>
      <c r="T107" s="182"/>
      <c r="U107" s="182"/>
      <c r="V107" s="182"/>
      <c r="W107" s="182"/>
      <c r="X107" s="182"/>
      <c r="Y107" s="182"/>
    </row>
    <row r="108" spans="1:25" ht="15.75" hidden="1" customHeight="1" x14ac:dyDescent="0.2">
      <c r="A108" s="182"/>
      <c r="B108" s="175"/>
      <c r="C108" s="176"/>
      <c r="D108" s="176"/>
      <c r="E108" s="176"/>
      <c r="F108" s="123"/>
      <c r="G108" s="123"/>
      <c r="H108" s="123"/>
      <c r="I108" s="123"/>
      <c r="J108" s="174"/>
      <c r="K108" s="182"/>
      <c r="L108" s="182"/>
      <c r="M108" s="182"/>
      <c r="N108" s="182"/>
      <c r="O108" s="182"/>
      <c r="P108" s="182"/>
      <c r="Q108" s="182"/>
      <c r="R108" s="182"/>
      <c r="S108" s="182"/>
      <c r="T108" s="182"/>
      <c r="U108" s="182"/>
      <c r="V108" s="182"/>
      <c r="W108" s="182"/>
      <c r="X108" s="182"/>
      <c r="Y108" s="182"/>
    </row>
    <row r="109" spans="1:25" ht="15.75" hidden="1" customHeight="1" x14ac:dyDescent="0.2">
      <c r="A109" s="182"/>
      <c r="B109" s="175"/>
      <c r="C109" s="176"/>
      <c r="D109" s="176"/>
      <c r="E109" s="176"/>
      <c r="F109" s="123"/>
      <c r="G109" s="123"/>
      <c r="H109" s="123"/>
      <c r="I109" s="123"/>
      <c r="J109" s="174"/>
      <c r="K109" s="182"/>
      <c r="L109" s="182"/>
      <c r="M109" s="182"/>
      <c r="N109" s="182"/>
      <c r="O109" s="182"/>
      <c r="P109" s="182"/>
      <c r="Q109" s="182"/>
      <c r="R109" s="182"/>
      <c r="S109" s="182"/>
      <c r="T109" s="182"/>
      <c r="U109" s="182"/>
      <c r="V109" s="182"/>
      <c r="W109" s="182"/>
      <c r="X109" s="182"/>
      <c r="Y109" s="182"/>
    </row>
    <row r="110" spans="1:25" ht="15.75" hidden="1" customHeight="1" x14ac:dyDescent="0.2">
      <c r="A110" s="182"/>
      <c r="B110" s="175"/>
      <c r="C110" s="176"/>
      <c r="D110" s="176"/>
      <c r="E110" s="176"/>
      <c r="F110" s="123"/>
      <c r="G110" s="123"/>
      <c r="H110" s="123"/>
      <c r="I110" s="123"/>
      <c r="J110" s="174"/>
      <c r="K110" s="182"/>
      <c r="L110" s="182"/>
      <c r="M110" s="182"/>
      <c r="N110" s="182"/>
      <c r="O110" s="182"/>
      <c r="P110" s="182"/>
      <c r="Q110" s="182"/>
      <c r="R110" s="182"/>
      <c r="S110" s="182"/>
      <c r="T110" s="182"/>
      <c r="U110" s="182"/>
      <c r="V110" s="182"/>
      <c r="W110" s="182"/>
      <c r="X110" s="182"/>
      <c r="Y110" s="182"/>
    </row>
    <row r="111" spans="1:25" ht="15.75" hidden="1" customHeight="1" x14ac:dyDescent="0.2">
      <c r="A111" s="182"/>
      <c r="B111" s="175"/>
      <c r="C111" s="176"/>
      <c r="D111" s="176"/>
      <c r="E111" s="176"/>
      <c r="F111" s="123"/>
      <c r="G111" s="123"/>
      <c r="H111" s="123"/>
      <c r="I111" s="123"/>
      <c r="J111" s="174"/>
      <c r="K111" s="182"/>
      <c r="L111" s="182"/>
      <c r="M111" s="182"/>
      <c r="N111" s="182"/>
      <c r="O111" s="182"/>
      <c r="P111" s="182"/>
      <c r="Q111" s="182"/>
      <c r="R111" s="182"/>
      <c r="S111" s="182"/>
      <c r="T111" s="182"/>
      <c r="U111" s="182"/>
      <c r="V111" s="182"/>
      <c r="W111" s="182"/>
      <c r="X111" s="182"/>
      <c r="Y111" s="182"/>
    </row>
    <row r="112" spans="1:25" ht="15.75" hidden="1" customHeight="1" x14ac:dyDescent="0.2">
      <c r="A112" s="182"/>
      <c r="B112" s="175"/>
      <c r="C112" s="176"/>
      <c r="D112" s="176"/>
      <c r="E112" s="176"/>
      <c r="F112" s="123"/>
      <c r="G112" s="123"/>
      <c r="H112" s="123"/>
      <c r="I112" s="123"/>
      <c r="J112" s="174"/>
      <c r="K112" s="182"/>
      <c r="L112" s="182"/>
      <c r="M112" s="182"/>
      <c r="N112" s="182"/>
      <c r="O112" s="182"/>
      <c r="P112" s="182"/>
      <c r="Q112" s="182"/>
      <c r="R112" s="182"/>
      <c r="S112" s="182"/>
      <c r="T112" s="182"/>
      <c r="U112" s="182"/>
      <c r="V112" s="182"/>
      <c r="W112" s="182"/>
      <c r="X112" s="182"/>
      <c r="Y112" s="182"/>
    </row>
    <row r="113" spans="1:25" ht="15.75" hidden="1" customHeight="1" x14ac:dyDescent="0.2">
      <c r="A113" s="182"/>
      <c r="B113" s="175"/>
      <c r="C113" s="176"/>
      <c r="D113" s="176"/>
      <c r="E113" s="176"/>
      <c r="F113" s="123"/>
      <c r="G113" s="123"/>
      <c r="H113" s="123"/>
      <c r="I113" s="123"/>
      <c r="J113" s="174"/>
      <c r="K113" s="182"/>
      <c r="L113" s="182"/>
      <c r="M113" s="182"/>
      <c r="N113" s="182"/>
      <c r="O113" s="182"/>
      <c r="P113" s="182"/>
      <c r="Q113" s="182"/>
      <c r="R113" s="182"/>
      <c r="S113" s="182"/>
      <c r="T113" s="182"/>
      <c r="U113" s="182"/>
      <c r="V113" s="182"/>
      <c r="W113" s="182"/>
      <c r="X113" s="182"/>
      <c r="Y113" s="182"/>
    </row>
    <row r="114" spans="1:25" ht="15.75" hidden="1" customHeight="1" x14ac:dyDescent="0.2">
      <c r="A114" s="182"/>
      <c r="B114" s="175"/>
      <c r="C114" s="176"/>
      <c r="D114" s="176"/>
      <c r="E114" s="176"/>
      <c r="F114" s="123"/>
      <c r="G114" s="123"/>
      <c r="H114" s="123"/>
      <c r="I114" s="123"/>
      <c r="J114" s="174"/>
      <c r="K114" s="182"/>
      <c r="L114" s="182"/>
      <c r="M114" s="182"/>
      <c r="N114" s="182"/>
      <c r="O114" s="182"/>
      <c r="P114" s="182"/>
      <c r="Q114" s="182"/>
      <c r="R114" s="182"/>
      <c r="S114" s="182"/>
      <c r="T114" s="182"/>
      <c r="U114" s="182"/>
      <c r="V114" s="182"/>
      <c r="W114" s="182"/>
      <c r="X114" s="182"/>
      <c r="Y114" s="182"/>
    </row>
    <row r="115" spans="1:25" ht="15.75" hidden="1" customHeight="1" x14ac:dyDescent="0.2">
      <c r="A115" s="182"/>
      <c r="B115" s="175"/>
      <c r="C115" s="176"/>
      <c r="D115" s="176"/>
      <c r="E115" s="176"/>
      <c r="F115" s="123"/>
      <c r="G115" s="123"/>
      <c r="H115" s="123"/>
      <c r="I115" s="123"/>
      <c r="J115" s="174"/>
      <c r="K115" s="182"/>
      <c r="L115" s="182"/>
      <c r="M115" s="182"/>
      <c r="N115" s="182"/>
      <c r="O115" s="182"/>
      <c r="P115" s="182"/>
      <c r="Q115" s="182"/>
      <c r="R115" s="182"/>
      <c r="S115" s="182"/>
      <c r="T115" s="182"/>
      <c r="U115" s="182"/>
      <c r="V115" s="182"/>
      <c r="W115" s="182"/>
      <c r="X115" s="182"/>
      <c r="Y115" s="182"/>
    </row>
    <row r="116" spans="1:25" ht="15.75" hidden="1" customHeight="1" x14ac:dyDescent="0.2">
      <c r="A116" s="182"/>
      <c r="B116" s="175"/>
      <c r="C116" s="176"/>
      <c r="D116" s="176"/>
      <c r="E116" s="176"/>
      <c r="F116" s="123"/>
      <c r="G116" s="123"/>
      <c r="H116" s="123"/>
      <c r="I116" s="123"/>
      <c r="J116" s="174"/>
      <c r="K116" s="182"/>
      <c r="L116" s="182"/>
      <c r="M116" s="182"/>
      <c r="N116" s="182"/>
      <c r="O116" s="182"/>
      <c r="P116" s="182"/>
      <c r="Q116" s="182"/>
      <c r="R116" s="182"/>
      <c r="S116" s="182"/>
      <c r="T116" s="182"/>
      <c r="U116" s="182"/>
      <c r="V116" s="182"/>
      <c r="W116" s="182"/>
      <c r="X116" s="182"/>
      <c r="Y116" s="182"/>
    </row>
    <row r="117" spans="1:25" ht="15.75" hidden="1" customHeight="1" x14ac:dyDescent="0.2">
      <c r="A117" s="182"/>
      <c r="B117" s="175"/>
      <c r="C117" s="176"/>
      <c r="D117" s="176"/>
      <c r="E117" s="176"/>
      <c r="F117" s="123"/>
      <c r="G117" s="123"/>
      <c r="H117" s="123"/>
      <c r="I117" s="123"/>
      <c r="J117" s="174"/>
      <c r="K117" s="182"/>
      <c r="L117" s="182"/>
      <c r="M117" s="182"/>
      <c r="N117" s="182"/>
      <c r="O117" s="182"/>
      <c r="P117" s="182"/>
      <c r="Q117" s="182"/>
      <c r="R117" s="182"/>
      <c r="S117" s="182"/>
      <c r="T117" s="182"/>
      <c r="U117" s="182"/>
      <c r="V117" s="182"/>
      <c r="W117" s="182"/>
      <c r="X117" s="182"/>
      <c r="Y117" s="182"/>
    </row>
    <row r="118" spans="1:25" ht="15.75" hidden="1" customHeight="1" x14ac:dyDescent="0.2">
      <c r="A118" s="182"/>
      <c r="B118" s="175"/>
      <c r="C118" s="176"/>
      <c r="D118" s="176"/>
      <c r="E118" s="176"/>
      <c r="F118" s="123"/>
      <c r="G118" s="123"/>
      <c r="H118" s="123"/>
      <c r="I118" s="123"/>
      <c r="J118" s="174"/>
      <c r="K118" s="182"/>
      <c r="L118" s="182"/>
      <c r="M118" s="182"/>
      <c r="N118" s="182"/>
      <c r="O118" s="182"/>
      <c r="P118" s="182"/>
      <c r="Q118" s="182"/>
      <c r="R118" s="182"/>
      <c r="S118" s="182"/>
      <c r="T118" s="182"/>
      <c r="U118" s="182"/>
      <c r="V118" s="182"/>
      <c r="W118" s="182"/>
      <c r="X118" s="182"/>
      <c r="Y118" s="182"/>
    </row>
    <row r="119" spans="1:25" ht="15.75" hidden="1" customHeight="1" x14ac:dyDescent="0.2">
      <c r="A119" s="182"/>
      <c r="B119" s="175"/>
      <c r="C119" s="176"/>
      <c r="D119" s="176"/>
      <c r="E119" s="176"/>
      <c r="F119" s="123"/>
      <c r="G119" s="123"/>
      <c r="H119" s="123"/>
      <c r="I119" s="123"/>
      <c r="J119" s="174"/>
      <c r="K119" s="182"/>
      <c r="L119" s="182"/>
      <c r="M119" s="182"/>
      <c r="N119" s="182"/>
      <c r="O119" s="182"/>
      <c r="P119" s="182"/>
      <c r="Q119" s="182"/>
      <c r="R119" s="182"/>
      <c r="S119" s="182"/>
      <c r="T119" s="182"/>
      <c r="U119" s="182"/>
      <c r="V119" s="182"/>
      <c r="W119" s="182"/>
      <c r="X119" s="182"/>
      <c r="Y119" s="182"/>
    </row>
    <row r="120" spans="1:25" ht="15.75" hidden="1" customHeight="1" x14ac:dyDescent="0.2">
      <c r="A120" s="182"/>
      <c r="B120" s="175"/>
      <c r="C120" s="176"/>
      <c r="D120" s="176"/>
      <c r="E120" s="176"/>
      <c r="F120" s="123"/>
      <c r="G120" s="123"/>
      <c r="H120" s="123"/>
      <c r="I120" s="123"/>
      <c r="J120" s="174"/>
      <c r="K120" s="182"/>
      <c r="L120" s="182"/>
      <c r="M120" s="182"/>
      <c r="N120" s="182"/>
      <c r="O120" s="182"/>
      <c r="P120" s="182"/>
      <c r="Q120" s="182"/>
      <c r="R120" s="182"/>
      <c r="S120" s="182"/>
      <c r="T120" s="182"/>
      <c r="U120" s="182"/>
      <c r="V120" s="182"/>
      <c r="W120" s="182"/>
      <c r="X120" s="182"/>
      <c r="Y120" s="182"/>
    </row>
    <row r="121" spans="1:25" ht="15.75" hidden="1" customHeight="1" x14ac:dyDescent="0.2">
      <c r="A121" s="182"/>
      <c r="B121" s="175"/>
      <c r="C121" s="176"/>
      <c r="D121" s="176"/>
      <c r="E121" s="176"/>
      <c r="F121" s="123"/>
      <c r="G121" s="123"/>
      <c r="H121" s="123"/>
      <c r="I121" s="123"/>
      <c r="J121" s="174"/>
      <c r="K121" s="182"/>
      <c r="L121" s="182"/>
      <c r="M121" s="182"/>
      <c r="N121" s="182"/>
      <c r="O121" s="182"/>
      <c r="P121" s="182"/>
      <c r="Q121" s="182"/>
      <c r="R121" s="182"/>
      <c r="S121" s="182"/>
      <c r="T121" s="182"/>
      <c r="U121" s="182"/>
      <c r="V121" s="182"/>
      <c r="W121" s="182"/>
      <c r="X121" s="182"/>
      <c r="Y121" s="182"/>
    </row>
    <row r="122" spans="1:25" ht="15.75" hidden="1" customHeight="1" x14ac:dyDescent="0.2">
      <c r="A122" s="182"/>
      <c r="B122" s="175"/>
      <c r="C122" s="176"/>
      <c r="D122" s="176"/>
      <c r="E122" s="176"/>
      <c r="F122" s="123"/>
      <c r="G122" s="123"/>
      <c r="H122" s="123"/>
      <c r="I122" s="123"/>
      <c r="J122" s="174"/>
      <c r="K122" s="182"/>
      <c r="L122" s="182"/>
      <c r="M122" s="182"/>
      <c r="N122" s="182"/>
      <c r="O122" s="182"/>
      <c r="P122" s="182"/>
      <c r="Q122" s="182"/>
      <c r="R122" s="182"/>
      <c r="S122" s="182"/>
      <c r="T122" s="182"/>
      <c r="U122" s="182"/>
      <c r="V122" s="182"/>
      <c r="W122" s="182"/>
      <c r="X122" s="182"/>
      <c r="Y122" s="182"/>
    </row>
    <row r="123" spans="1:25" ht="15.75" hidden="1" customHeight="1" x14ac:dyDescent="0.2">
      <c r="A123" s="182"/>
      <c r="B123" s="175"/>
      <c r="C123" s="176"/>
      <c r="D123" s="176"/>
      <c r="E123" s="176"/>
      <c r="F123" s="123"/>
      <c r="G123" s="123"/>
      <c r="H123" s="123"/>
      <c r="I123" s="123"/>
      <c r="J123" s="174"/>
      <c r="K123" s="182"/>
      <c r="L123" s="182"/>
      <c r="M123" s="182"/>
      <c r="N123" s="182"/>
      <c r="O123" s="182"/>
      <c r="P123" s="182"/>
      <c r="Q123" s="182"/>
      <c r="R123" s="182"/>
      <c r="S123" s="182"/>
      <c r="T123" s="182"/>
      <c r="U123" s="182"/>
      <c r="V123" s="182"/>
      <c r="W123" s="182"/>
      <c r="X123" s="182"/>
      <c r="Y123" s="182"/>
    </row>
    <row r="124" spans="1:25" ht="15.75" hidden="1" customHeight="1" x14ac:dyDescent="0.2">
      <c r="A124" s="182"/>
      <c r="B124" s="175"/>
      <c r="C124" s="176"/>
      <c r="D124" s="176"/>
      <c r="E124" s="176"/>
      <c r="F124" s="123"/>
      <c r="G124" s="123"/>
      <c r="H124" s="123"/>
      <c r="I124" s="123"/>
      <c r="J124" s="174"/>
      <c r="K124" s="182"/>
      <c r="L124" s="182"/>
      <c r="M124" s="182"/>
      <c r="N124" s="182"/>
      <c r="O124" s="182"/>
      <c r="P124" s="182"/>
      <c r="Q124" s="182"/>
      <c r="R124" s="182"/>
      <c r="S124" s="182"/>
      <c r="T124" s="182"/>
      <c r="U124" s="182"/>
      <c r="V124" s="182"/>
      <c r="W124" s="182"/>
      <c r="X124" s="182"/>
      <c r="Y124" s="182"/>
    </row>
    <row r="125" spans="1:25" ht="15.75" hidden="1" customHeight="1" x14ac:dyDescent="0.2">
      <c r="A125" s="182"/>
      <c r="B125" s="175"/>
      <c r="C125" s="176"/>
      <c r="D125" s="176"/>
      <c r="E125" s="176"/>
      <c r="F125" s="123"/>
      <c r="G125" s="123"/>
      <c r="H125" s="123"/>
      <c r="I125" s="123"/>
      <c r="J125" s="174"/>
      <c r="K125" s="182"/>
      <c r="L125" s="182"/>
      <c r="M125" s="182"/>
      <c r="N125" s="182"/>
      <c r="O125" s="182"/>
      <c r="P125" s="182"/>
      <c r="Q125" s="182"/>
      <c r="R125" s="182"/>
      <c r="S125" s="182"/>
      <c r="T125" s="182"/>
      <c r="U125" s="182"/>
      <c r="V125" s="182"/>
      <c r="W125" s="182"/>
      <c r="X125" s="182"/>
      <c r="Y125" s="182"/>
    </row>
    <row r="126" spans="1:25" ht="15.75" hidden="1" customHeight="1" x14ac:dyDescent="0.2">
      <c r="A126" s="182"/>
      <c r="B126" s="175"/>
      <c r="C126" s="176"/>
      <c r="D126" s="176"/>
      <c r="E126" s="176"/>
      <c r="F126" s="123"/>
      <c r="G126" s="123"/>
      <c r="H126" s="123"/>
      <c r="I126" s="123"/>
      <c r="J126" s="174"/>
      <c r="K126" s="182"/>
      <c r="L126" s="182"/>
      <c r="M126" s="182"/>
      <c r="N126" s="182"/>
      <c r="O126" s="182"/>
      <c r="P126" s="182"/>
      <c r="Q126" s="182"/>
      <c r="R126" s="182"/>
      <c r="S126" s="182"/>
      <c r="T126" s="182"/>
      <c r="U126" s="182"/>
      <c r="V126" s="182"/>
      <c r="W126" s="182"/>
      <c r="X126" s="182"/>
      <c r="Y126" s="182"/>
    </row>
    <row r="127" spans="1:25" ht="15.75" hidden="1" customHeight="1" x14ac:dyDescent="0.2">
      <c r="A127" s="182"/>
      <c r="B127" s="175"/>
      <c r="C127" s="176"/>
      <c r="D127" s="176"/>
      <c r="E127" s="176"/>
      <c r="F127" s="123"/>
      <c r="G127" s="123"/>
      <c r="H127" s="123"/>
      <c r="I127" s="123"/>
      <c r="J127" s="174"/>
      <c r="K127" s="182"/>
      <c r="L127" s="182"/>
      <c r="M127" s="182"/>
      <c r="N127" s="182"/>
      <c r="O127" s="182"/>
      <c r="P127" s="182"/>
      <c r="Q127" s="182"/>
      <c r="R127" s="182"/>
      <c r="S127" s="182"/>
      <c r="T127" s="182"/>
      <c r="U127" s="182"/>
      <c r="V127" s="182"/>
      <c r="W127" s="182"/>
      <c r="X127" s="182"/>
      <c r="Y127" s="182"/>
    </row>
    <row r="128" spans="1:25" ht="15.75" hidden="1" customHeight="1" x14ac:dyDescent="0.2">
      <c r="A128" s="182"/>
      <c r="B128" s="175"/>
      <c r="C128" s="176"/>
      <c r="D128" s="176"/>
      <c r="E128" s="176"/>
      <c r="F128" s="123"/>
      <c r="G128" s="123"/>
      <c r="H128" s="123"/>
      <c r="I128" s="123"/>
      <c r="J128" s="174"/>
      <c r="K128" s="182"/>
      <c r="L128" s="182"/>
      <c r="M128" s="182"/>
      <c r="N128" s="182"/>
      <c r="O128" s="182"/>
      <c r="P128" s="182"/>
      <c r="Q128" s="182"/>
      <c r="R128" s="182"/>
      <c r="S128" s="182"/>
      <c r="T128" s="182"/>
      <c r="U128" s="182"/>
      <c r="V128" s="182"/>
      <c r="W128" s="182"/>
      <c r="X128" s="182"/>
      <c r="Y128" s="182"/>
    </row>
    <row r="129" spans="1:25" ht="15.75" hidden="1" customHeight="1" x14ac:dyDescent="0.2">
      <c r="A129" s="182"/>
      <c r="B129" s="175"/>
      <c r="C129" s="176"/>
      <c r="D129" s="176"/>
      <c r="E129" s="176"/>
      <c r="F129" s="123"/>
      <c r="G129" s="123"/>
      <c r="H129" s="123"/>
      <c r="I129" s="123"/>
      <c r="J129" s="174"/>
      <c r="K129" s="182"/>
      <c r="L129" s="182"/>
      <c r="M129" s="182"/>
      <c r="N129" s="182"/>
      <c r="O129" s="182"/>
      <c r="P129" s="182"/>
      <c r="Q129" s="182"/>
      <c r="R129" s="182"/>
      <c r="S129" s="182"/>
      <c r="T129" s="182"/>
      <c r="U129" s="182"/>
      <c r="V129" s="182"/>
      <c r="W129" s="182"/>
      <c r="X129" s="182"/>
      <c r="Y129" s="182"/>
    </row>
    <row r="130" spans="1:25" ht="15.75" hidden="1" customHeight="1" x14ac:dyDescent="0.2">
      <c r="A130" s="182"/>
      <c r="B130" s="175"/>
      <c r="C130" s="176"/>
      <c r="D130" s="176"/>
      <c r="E130" s="176"/>
      <c r="F130" s="123"/>
      <c r="G130" s="123"/>
      <c r="H130" s="123"/>
      <c r="I130" s="123"/>
      <c r="J130" s="174"/>
      <c r="K130" s="182"/>
      <c r="L130" s="182"/>
      <c r="M130" s="182"/>
      <c r="N130" s="182"/>
      <c r="O130" s="182"/>
      <c r="P130" s="182"/>
      <c r="Q130" s="182"/>
      <c r="R130" s="182"/>
      <c r="S130" s="182"/>
      <c r="T130" s="182"/>
      <c r="U130" s="182"/>
      <c r="V130" s="182"/>
      <c r="W130" s="182"/>
      <c r="X130" s="182"/>
      <c r="Y130" s="182"/>
    </row>
    <row r="131" spans="1:25" ht="15.75" hidden="1" customHeight="1" x14ac:dyDescent="0.2">
      <c r="A131" s="182"/>
      <c r="B131" s="175"/>
      <c r="C131" s="176"/>
      <c r="D131" s="176"/>
      <c r="E131" s="176"/>
      <c r="F131" s="123"/>
      <c r="G131" s="123"/>
      <c r="H131" s="123"/>
      <c r="I131" s="123"/>
      <c r="J131" s="174"/>
      <c r="K131" s="182"/>
      <c r="L131" s="182"/>
      <c r="M131" s="182"/>
      <c r="N131" s="182"/>
      <c r="O131" s="182"/>
      <c r="P131" s="182"/>
      <c r="Q131" s="182"/>
      <c r="R131" s="182"/>
      <c r="S131" s="182"/>
      <c r="T131" s="182"/>
      <c r="U131" s="182"/>
      <c r="V131" s="182"/>
      <c r="W131" s="182"/>
      <c r="X131" s="182"/>
      <c r="Y131" s="182"/>
    </row>
    <row r="132" spans="1:25" ht="15.75" hidden="1" customHeight="1" x14ac:dyDescent="0.2">
      <c r="A132" s="182"/>
      <c r="B132" s="175"/>
      <c r="C132" s="176"/>
      <c r="D132" s="176"/>
      <c r="E132" s="176"/>
      <c r="F132" s="123"/>
      <c r="G132" s="123"/>
      <c r="H132" s="123"/>
      <c r="I132" s="123"/>
      <c r="J132" s="174"/>
      <c r="K132" s="182"/>
      <c r="L132" s="182"/>
      <c r="M132" s="182"/>
      <c r="N132" s="182"/>
      <c r="O132" s="182"/>
      <c r="P132" s="182"/>
      <c r="Q132" s="182"/>
      <c r="R132" s="182"/>
      <c r="S132" s="182"/>
      <c r="T132" s="182"/>
      <c r="U132" s="182"/>
      <c r="V132" s="182"/>
      <c r="W132" s="182"/>
      <c r="X132" s="182"/>
      <c r="Y132" s="182"/>
    </row>
    <row r="133" spans="1:25" ht="15.75" hidden="1" customHeight="1" x14ac:dyDescent="0.2">
      <c r="A133" s="182"/>
      <c r="B133" s="175"/>
      <c r="C133" s="176"/>
      <c r="D133" s="176"/>
      <c r="E133" s="176"/>
      <c r="F133" s="123"/>
      <c r="G133" s="123"/>
      <c r="H133" s="123"/>
      <c r="I133" s="123"/>
      <c r="J133" s="174"/>
      <c r="K133" s="182"/>
      <c r="L133" s="182"/>
      <c r="M133" s="182"/>
      <c r="N133" s="182"/>
      <c r="O133" s="182"/>
      <c r="P133" s="182"/>
      <c r="Q133" s="182"/>
      <c r="R133" s="182"/>
      <c r="S133" s="182"/>
      <c r="T133" s="182"/>
      <c r="U133" s="182"/>
      <c r="V133" s="182"/>
      <c r="W133" s="182"/>
      <c r="X133" s="182"/>
      <c r="Y133" s="182"/>
    </row>
    <row r="134" spans="1:25" ht="15.75" hidden="1" customHeight="1" x14ac:dyDescent="0.2">
      <c r="A134" s="182"/>
      <c r="B134" s="175"/>
      <c r="C134" s="176"/>
      <c r="D134" s="176"/>
      <c r="E134" s="176"/>
      <c r="F134" s="123"/>
      <c r="G134" s="123"/>
      <c r="H134" s="123"/>
      <c r="I134" s="123"/>
      <c r="J134" s="174"/>
      <c r="K134" s="182"/>
      <c r="L134" s="182"/>
      <c r="M134" s="182"/>
      <c r="N134" s="182"/>
      <c r="O134" s="182"/>
      <c r="P134" s="182"/>
      <c r="Q134" s="182"/>
      <c r="R134" s="182"/>
      <c r="S134" s="182"/>
      <c r="T134" s="182"/>
      <c r="U134" s="182"/>
      <c r="V134" s="182"/>
      <c r="W134" s="182"/>
      <c r="X134" s="182"/>
      <c r="Y134" s="182"/>
    </row>
    <row r="135" spans="1:25" ht="15.75" hidden="1" customHeight="1" x14ac:dyDescent="0.2">
      <c r="A135" s="182"/>
      <c r="B135" s="175"/>
      <c r="C135" s="176"/>
      <c r="D135" s="176"/>
      <c r="E135" s="176"/>
      <c r="F135" s="123"/>
      <c r="G135" s="123"/>
      <c r="H135" s="123"/>
      <c r="I135" s="123"/>
      <c r="J135" s="174"/>
      <c r="K135" s="182"/>
      <c r="L135" s="182"/>
      <c r="M135" s="182"/>
      <c r="N135" s="182"/>
      <c r="O135" s="182"/>
      <c r="P135" s="182"/>
      <c r="Q135" s="182"/>
      <c r="R135" s="182"/>
      <c r="S135" s="182"/>
      <c r="T135" s="182"/>
      <c r="U135" s="182"/>
      <c r="V135" s="182"/>
      <c r="W135" s="182"/>
      <c r="X135" s="182"/>
      <c r="Y135" s="182"/>
    </row>
    <row r="136" spans="1:25" ht="15.75" hidden="1" customHeight="1" x14ac:dyDescent="0.2">
      <c r="A136" s="182"/>
      <c r="B136" s="175"/>
      <c r="C136" s="176"/>
      <c r="D136" s="176"/>
      <c r="E136" s="176"/>
      <c r="F136" s="123"/>
      <c r="G136" s="123"/>
      <c r="H136" s="123"/>
      <c r="I136" s="123"/>
      <c r="J136" s="174"/>
      <c r="K136" s="182"/>
      <c r="L136" s="182"/>
      <c r="M136" s="182"/>
      <c r="N136" s="182"/>
      <c r="O136" s="182"/>
      <c r="P136" s="182"/>
      <c r="Q136" s="182"/>
      <c r="R136" s="182"/>
      <c r="S136" s="182"/>
      <c r="T136" s="182"/>
      <c r="U136" s="182"/>
      <c r="V136" s="182"/>
      <c r="W136" s="182"/>
      <c r="X136" s="182"/>
      <c r="Y136" s="182"/>
    </row>
    <row r="137" spans="1:25" ht="15.75" hidden="1" customHeight="1" x14ac:dyDescent="0.2">
      <c r="A137" s="182"/>
      <c r="B137" s="175"/>
      <c r="C137" s="176"/>
      <c r="D137" s="176"/>
      <c r="E137" s="176"/>
      <c r="F137" s="123"/>
      <c r="G137" s="123"/>
      <c r="H137" s="123"/>
      <c r="I137" s="123"/>
      <c r="J137" s="174"/>
      <c r="K137" s="182"/>
      <c r="L137" s="182"/>
      <c r="M137" s="182"/>
      <c r="N137" s="182"/>
      <c r="O137" s="182"/>
      <c r="P137" s="182"/>
      <c r="Q137" s="182"/>
      <c r="R137" s="182"/>
      <c r="S137" s="182"/>
      <c r="T137" s="182"/>
      <c r="U137" s="182"/>
      <c r="V137" s="182"/>
      <c r="W137" s="182"/>
      <c r="X137" s="182"/>
      <c r="Y137" s="182"/>
    </row>
    <row r="138" spans="1:25" ht="15.75" hidden="1" customHeight="1" x14ac:dyDescent="0.2">
      <c r="A138" s="182"/>
      <c r="B138" s="175"/>
      <c r="C138" s="176"/>
      <c r="D138" s="176"/>
      <c r="E138" s="176"/>
      <c r="F138" s="123"/>
      <c r="G138" s="123"/>
      <c r="H138" s="123"/>
      <c r="I138" s="123"/>
      <c r="J138" s="174"/>
      <c r="K138" s="182"/>
      <c r="L138" s="182"/>
      <c r="M138" s="182"/>
      <c r="N138" s="182"/>
      <c r="O138" s="182"/>
      <c r="P138" s="182"/>
      <c r="Q138" s="182"/>
      <c r="R138" s="182"/>
      <c r="S138" s="182"/>
      <c r="T138" s="182"/>
      <c r="U138" s="182"/>
      <c r="V138" s="182"/>
      <c r="W138" s="182"/>
      <c r="X138" s="182"/>
      <c r="Y138" s="182"/>
    </row>
    <row r="139" spans="1:25" ht="15.75" hidden="1" customHeight="1" x14ac:dyDescent="0.2">
      <c r="A139" s="182"/>
      <c r="B139" s="175"/>
      <c r="C139" s="176"/>
      <c r="D139" s="176"/>
      <c r="E139" s="176"/>
      <c r="F139" s="123"/>
      <c r="G139" s="123"/>
      <c r="H139" s="123"/>
      <c r="I139" s="123"/>
      <c r="J139" s="174"/>
      <c r="K139" s="182"/>
      <c r="L139" s="182"/>
      <c r="M139" s="182"/>
      <c r="N139" s="182"/>
      <c r="O139" s="182"/>
      <c r="P139" s="182"/>
      <c r="Q139" s="182"/>
      <c r="R139" s="182"/>
      <c r="S139" s="182"/>
      <c r="T139" s="182"/>
      <c r="U139" s="182"/>
      <c r="V139" s="182"/>
      <c r="W139" s="182"/>
      <c r="X139" s="182"/>
      <c r="Y139" s="182"/>
    </row>
    <row r="140" spans="1:25" ht="15.75" hidden="1" customHeight="1" x14ac:dyDescent="0.2">
      <c r="A140" s="182"/>
      <c r="B140" s="175"/>
      <c r="C140" s="176"/>
      <c r="D140" s="176"/>
      <c r="E140" s="176"/>
      <c r="F140" s="123"/>
      <c r="G140" s="123"/>
      <c r="H140" s="123"/>
      <c r="I140" s="123"/>
      <c r="J140" s="174"/>
      <c r="K140" s="182"/>
      <c r="L140" s="182"/>
      <c r="M140" s="182"/>
      <c r="N140" s="182"/>
      <c r="O140" s="182"/>
      <c r="P140" s="182"/>
      <c r="Q140" s="182"/>
      <c r="R140" s="182"/>
      <c r="S140" s="182"/>
      <c r="T140" s="182"/>
      <c r="U140" s="182"/>
      <c r="V140" s="182"/>
      <c r="W140" s="182"/>
      <c r="X140" s="182"/>
      <c r="Y140" s="182"/>
    </row>
    <row r="141" spans="1:25" ht="15.75" hidden="1" customHeight="1" x14ac:dyDescent="0.2">
      <c r="A141" s="182"/>
      <c r="B141" s="175"/>
      <c r="C141" s="176"/>
      <c r="D141" s="176"/>
      <c r="E141" s="176"/>
      <c r="F141" s="123"/>
      <c r="G141" s="123"/>
      <c r="H141" s="123"/>
      <c r="I141" s="123"/>
      <c r="J141" s="174"/>
      <c r="K141" s="182"/>
      <c r="L141" s="182"/>
      <c r="M141" s="182"/>
      <c r="N141" s="182"/>
      <c r="O141" s="182"/>
      <c r="P141" s="182"/>
      <c r="Q141" s="182"/>
      <c r="R141" s="182"/>
      <c r="S141" s="182"/>
      <c r="T141" s="182"/>
      <c r="U141" s="182"/>
      <c r="V141" s="182"/>
      <c r="W141" s="182"/>
      <c r="X141" s="182"/>
      <c r="Y141" s="182"/>
    </row>
    <row r="142" spans="1:25" ht="15.75" hidden="1" customHeight="1" x14ac:dyDescent="0.2">
      <c r="A142" s="182"/>
      <c r="B142" s="175"/>
      <c r="C142" s="176"/>
      <c r="D142" s="176"/>
      <c r="E142" s="176"/>
      <c r="F142" s="123"/>
      <c r="G142" s="123"/>
      <c r="H142" s="123"/>
      <c r="I142" s="123"/>
      <c r="J142" s="174"/>
      <c r="K142" s="182"/>
      <c r="L142" s="182"/>
      <c r="M142" s="182"/>
      <c r="N142" s="182"/>
      <c r="O142" s="182"/>
      <c r="P142" s="182"/>
      <c r="Q142" s="182"/>
      <c r="R142" s="182"/>
      <c r="S142" s="182"/>
      <c r="T142" s="182"/>
      <c r="U142" s="182"/>
      <c r="V142" s="182"/>
      <c r="W142" s="182"/>
      <c r="X142" s="182"/>
      <c r="Y142" s="182"/>
    </row>
    <row r="143" spans="1:25" ht="15.75" hidden="1" customHeight="1" x14ac:dyDescent="0.2">
      <c r="A143" s="182"/>
      <c r="B143" s="175"/>
      <c r="C143" s="176"/>
      <c r="D143" s="176"/>
      <c r="E143" s="176"/>
      <c r="F143" s="123"/>
      <c r="G143" s="123"/>
      <c r="H143" s="123"/>
      <c r="I143" s="123"/>
      <c r="J143" s="174"/>
      <c r="K143" s="182"/>
      <c r="L143" s="182"/>
      <c r="M143" s="182"/>
      <c r="N143" s="182"/>
      <c r="O143" s="182"/>
      <c r="P143" s="182"/>
      <c r="Q143" s="182"/>
      <c r="R143" s="182"/>
      <c r="S143" s="182"/>
      <c r="T143" s="182"/>
      <c r="U143" s="182"/>
      <c r="V143" s="182"/>
      <c r="W143" s="182"/>
      <c r="X143" s="182"/>
      <c r="Y143" s="182"/>
    </row>
    <row r="144" spans="1:25" ht="15.75" hidden="1" customHeight="1" x14ac:dyDescent="0.2">
      <c r="A144" s="182"/>
      <c r="B144" s="175"/>
      <c r="C144" s="176"/>
      <c r="D144" s="176"/>
      <c r="E144" s="176"/>
      <c r="F144" s="123"/>
      <c r="G144" s="123"/>
      <c r="H144" s="123"/>
      <c r="I144" s="123"/>
      <c r="J144" s="174"/>
      <c r="K144" s="182"/>
      <c r="L144" s="182"/>
      <c r="M144" s="182"/>
      <c r="N144" s="182"/>
      <c r="O144" s="182"/>
      <c r="P144" s="182"/>
      <c r="Q144" s="182"/>
      <c r="R144" s="182"/>
      <c r="S144" s="182"/>
      <c r="T144" s="182"/>
      <c r="U144" s="182"/>
      <c r="V144" s="182"/>
      <c r="W144" s="182"/>
      <c r="X144" s="182"/>
      <c r="Y144" s="182"/>
    </row>
    <row r="145" spans="1:25" ht="15.75" hidden="1" customHeight="1" x14ac:dyDescent="0.2">
      <c r="A145" s="182"/>
      <c r="B145" s="175"/>
      <c r="C145" s="176"/>
      <c r="D145" s="176"/>
      <c r="E145" s="176"/>
      <c r="F145" s="123"/>
      <c r="G145" s="123"/>
      <c r="H145" s="123"/>
      <c r="I145" s="123"/>
      <c r="J145" s="174"/>
      <c r="K145" s="182"/>
      <c r="L145" s="182"/>
      <c r="M145" s="182"/>
      <c r="N145" s="182"/>
      <c r="O145" s="182"/>
      <c r="P145" s="182"/>
      <c r="Q145" s="182"/>
      <c r="R145" s="182"/>
      <c r="S145" s="182"/>
      <c r="T145" s="182"/>
      <c r="U145" s="182"/>
      <c r="V145" s="182"/>
      <c r="W145" s="182"/>
      <c r="X145" s="182"/>
      <c r="Y145" s="182"/>
    </row>
    <row r="146" spans="1:25" ht="15.75" hidden="1" customHeight="1" x14ac:dyDescent="0.2">
      <c r="A146" s="182"/>
      <c r="B146" s="175"/>
      <c r="C146" s="176"/>
      <c r="D146" s="176"/>
      <c r="E146" s="176"/>
      <c r="F146" s="123"/>
      <c r="G146" s="123"/>
      <c r="H146" s="123"/>
      <c r="I146" s="123"/>
      <c r="J146" s="174"/>
      <c r="K146" s="182"/>
      <c r="L146" s="182"/>
      <c r="M146" s="182"/>
      <c r="N146" s="182"/>
      <c r="O146" s="182"/>
      <c r="P146" s="182"/>
      <c r="Q146" s="182"/>
      <c r="R146" s="182"/>
      <c r="S146" s="182"/>
      <c r="T146" s="182"/>
      <c r="U146" s="182"/>
      <c r="V146" s="182"/>
      <c r="W146" s="182"/>
      <c r="X146" s="182"/>
      <c r="Y146" s="182"/>
    </row>
    <row r="147" spans="1:25" ht="15.75" hidden="1" customHeight="1" x14ac:dyDescent="0.2">
      <c r="A147" s="182"/>
      <c r="B147" s="175"/>
      <c r="C147" s="176"/>
      <c r="D147" s="176"/>
      <c r="E147" s="176"/>
      <c r="F147" s="123"/>
      <c r="G147" s="123"/>
      <c r="H147" s="123"/>
      <c r="I147" s="123"/>
      <c r="J147" s="174"/>
      <c r="K147" s="182"/>
      <c r="L147" s="182"/>
      <c r="M147" s="182"/>
      <c r="N147" s="182"/>
      <c r="O147" s="182"/>
      <c r="P147" s="182"/>
      <c r="Q147" s="182"/>
      <c r="R147" s="182"/>
      <c r="S147" s="182"/>
      <c r="T147" s="182"/>
      <c r="U147" s="182"/>
      <c r="V147" s="182"/>
      <c r="W147" s="182"/>
      <c r="X147" s="182"/>
      <c r="Y147" s="182"/>
    </row>
    <row r="148" spans="1:25" ht="15.75" hidden="1" customHeight="1" x14ac:dyDescent="0.2">
      <c r="A148" s="182"/>
      <c r="B148" s="175"/>
      <c r="C148" s="176"/>
      <c r="D148" s="176"/>
      <c r="E148" s="176"/>
      <c r="F148" s="123"/>
      <c r="G148" s="123"/>
      <c r="H148" s="123"/>
      <c r="I148" s="123"/>
      <c r="J148" s="174"/>
      <c r="K148" s="182"/>
      <c r="L148" s="182"/>
      <c r="M148" s="182"/>
      <c r="N148" s="182"/>
      <c r="O148" s="182"/>
      <c r="P148" s="182"/>
      <c r="Q148" s="182"/>
      <c r="R148" s="182"/>
      <c r="S148" s="182"/>
      <c r="T148" s="182"/>
      <c r="U148" s="182"/>
      <c r="V148" s="182"/>
      <c r="W148" s="182"/>
      <c r="X148" s="182"/>
      <c r="Y148" s="182"/>
    </row>
    <row r="149" spans="1:25" ht="15.75" hidden="1" customHeight="1" x14ac:dyDescent="0.2">
      <c r="A149" s="182"/>
      <c r="B149" s="175"/>
      <c r="C149" s="176"/>
      <c r="D149" s="176"/>
      <c r="E149" s="176"/>
      <c r="F149" s="123"/>
      <c r="G149" s="123"/>
      <c r="H149" s="123"/>
      <c r="I149" s="123"/>
      <c r="J149" s="174"/>
      <c r="K149" s="182"/>
      <c r="L149" s="182"/>
      <c r="M149" s="182"/>
      <c r="N149" s="182"/>
      <c r="O149" s="182"/>
      <c r="P149" s="182"/>
      <c r="Q149" s="182"/>
      <c r="R149" s="182"/>
      <c r="S149" s="182"/>
      <c r="T149" s="182"/>
      <c r="U149" s="182"/>
      <c r="V149" s="182"/>
      <c r="W149" s="182"/>
      <c r="X149" s="182"/>
      <c r="Y149" s="182"/>
    </row>
    <row r="150" spans="1:25" ht="15.75" hidden="1" customHeight="1" x14ac:dyDescent="0.2">
      <c r="A150" s="182"/>
      <c r="B150" s="175"/>
      <c r="C150" s="176"/>
      <c r="D150" s="176"/>
      <c r="E150" s="176"/>
      <c r="F150" s="123"/>
      <c r="G150" s="123"/>
      <c r="H150" s="123"/>
      <c r="I150" s="123"/>
      <c r="J150" s="174"/>
      <c r="K150" s="182"/>
      <c r="L150" s="182"/>
      <c r="M150" s="182"/>
      <c r="N150" s="182"/>
      <c r="O150" s="182"/>
      <c r="P150" s="182"/>
      <c r="Q150" s="182"/>
      <c r="R150" s="182"/>
      <c r="S150" s="182"/>
      <c r="T150" s="182"/>
      <c r="U150" s="182"/>
      <c r="V150" s="182"/>
      <c r="W150" s="182"/>
      <c r="X150" s="182"/>
      <c r="Y150" s="182"/>
    </row>
    <row r="151" spans="1:25" ht="15.75" hidden="1" customHeight="1" x14ac:dyDescent="0.2">
      <c r="A151" s="182"/>
      <c r="B151" s="175"/>
      <c r="C151" s="176"/>
      <c r="D151" s="176"/>
      <c r="E151" s="176"/>
      <c r="F151" s="123"/>
      <c r="G151" s="123"/>
      <c r="H151" s="123"/>
      <c r="I151" s="123"/>
      <c r="J151" s="174"/>
      <c r="K151" s="182"/>
      <c r="L151" s="182"/>
      <c r="M151" s="182"/>
      <c r="N151" s="182"/>
      <c r="O151" s="182"/>
      <c r="P151" s="182"/>
      <c r="Q151" s="182"/>
      <c r="R151" s="182"/>
      <c r="S151" s="182"/>
      <c r="T151" s="182"/>
      <c r="U151" s="182"/>
      <c r="V151" s="182"/>
      <c r="W151" s="182"/>
      <c r="X151" s="182"/>
      <c r="Y151" s="182"/>
    </row>
    <row r="152" spans="1:25" ht="15.75" hidden="1" customHeight="1" x14ac:dyDescent="0.2">
      <c r="A152" s="182"/>
      <c r="B152" s="175"/>
      <c r="C152" s="176"/>
      <c r="D152" s="176"/>
      <c r="E152" s="176"/>
      <c r="F152" s="123"/>
      <c r="G152" s="123"/>
      <c r="H152" s="123"/>
      <c r="I152" s="123"/>
      <c r="J152" s="174"/>
      <c r="K152" s="182"/>
      <c r="L152" s="182"/>
      <c r="M152" s="182"/>
      <c r="N152" s="182"/>
      <c r="O152" s="182"/>
      <c r="P152" s="182"/>
      <c r="Q152" s="182"/>
      <c r="R152" s="182"/>
      <c r="S152" s="182"/>
      <c r="T152" s="182"/>
      <c r="U152" s="182"/>
      <c r="V152" s="182"/>
      <c r="W152" s="182"/>
      <c r="X152" s="182"/>
      <c r="Y152" s="182"/>
    </row>
    <row r="153" spans="1:25" ht="15.75" hidden="1" customHeight="1" x14ac:dyDescent="0.2">
      <c r="A153" s="182"/>
      <c r="B153" s="175"/>
      <c r="C153" s="176"/>
      <c r="D153" s="176"/>
      <c r="E153" s="176"/>
      <c r="F153" s="123"/>
      <c r="G153" s="123"/>
      <c r="H153" s="123"/>
      <c r="I153" s="123"/>
      <c r="J153" s="174"/>
      <c r="K153" s="182"/>
      <c r="L153" s="182"/>
      <c r="M153" s="182"/>
      <c r="N153" s="182"/>
      <c r="O153" s="182"/>
      <c r="P153" s="182"/>
      <c r="Q153" s="182"/>
      <c r="R153" s="182"/>
      <c r="S153" s="182"/>
      <c r="T153" s="182"/>
      <c r="U153" s="182"/>
      <c r="V153" s="182"/>
      <c r="W153" s="182"/>
      <c r="X153" s="182"/>
      <c r="Y153" s="182"/>
    </row>
    <row r="154" spans="1:25" ht="15.75" hidden="1" customHeight="1" x14ac:dyDescent="0.2">
      <c r="A154" s="182"/>
      <c r="B154" s="175"/>
      <c r="C154" s="176"/>
      <c r="D154" s="176"/>
      <c r="E154" s="176"/>
      <c r="F154" s="123"/>
      <c r="G154" s="123"/>
      <c r="H154" s="123"/>
      <c r="I154" s="123"/>
      <c r="J154" s="174"/>
      <c r="K154" s="182"/>
      <c r="L154" s="182"/>
      <c r="M154" s="182"/>
      <c r="N154" s="182"/>
      <c r="O154" s="182"/>
      <c r="P154" s="182"/>
      <c r="Q154" s="182"/>
      <c r="R154" s="182"/>
      <c r="S154" s="182"/>
      <c r="T154" s="182"/>
      <c r="U154" s="182"/>
      <c r="V154" s="182"/>
      <c r="W154" s="182"/>
      <c r="X154" s="182"/>
      <c r="Y154" s="182"/>
    </row>
    <row r="155" spans="1:25" ht="15.75" hidden="1" customHeight="1" x14ac:dyDescent="0.2">
      <c r="A155" s="182"/>
      <c r="B155" s="175"/>
      <c r="C155" s="176"/>
      <c r="D155" s="176"/>
      <c r="E155" s="176"/>
      <c r="F155" s="123"/>
      <c r="G155" s="123"/>
      <c r="H155" s="123"/>
      <c r="I155" s="123"/>
      <c r="J155" s="174"/>
      <c r="K155" s="182"/>
      <c r="L155" s="182"/>
      <c r="M155" s="182"/>
      <c r="N155" s="182"/>
      <c r="O155" s="182"/>
      <c r="P155" s="182"/>
      <c r="Q155" s="182"/>
      <c r="R155" s="182"/>
      <c r="S155" s="182"/>
      <c r="T155" s="182"/>
      <c r="U155" s="182"/>
      <c r="V155" s="182"/>
      <c r="W155" s="182"/>
      <c r="X155" s="182"/>
      <c r="Y155" s="182"/>
    </row>
    <row r="156" spans="1:25" ht="15.75" hidden="1" customHeight="1" x14ac:dyDescent="0.2">
      <c r="A156" s="182"/>
      <c r="B156" s="175"/>
      <c r="C156" s="176"/>
      <c r="D156" s="176"/>
      <c r="E156" s="176"/>
      <c r="F156" s="123"/>
      <c r="G156" s="123"/>
      <c r="H156" s="123"/>
      <c r="I156" s="123"/>
      <c r="J156" s="174"/>
      <c r="K156" s="182"/>
      <c r="L156" s="182"/>
      <c r="M156" s="182"/>
      <c r="N156" s="182"/>
      <c r="O156" s="182"/>
      <c r="P156" s="182"/>
      <c r="Q156" s="182"/>
      <c r="R156" s="182"/>
      <c r="S156" s="182"/>
      <c r="T156" s="182"/>
      <c r="U156" s="182"/>
      <c r="V156" s="182"/>
      <c r="W156" s="182"/>
      <c r="X156" s="182"/>
      <c r="Y156" s="182"/>
    </row>
    <row r="157" spans="1:25" ht="15.75" hidden="1" customHeight="1" x14ac:dyDescent="0.2">
      <c r="A157" s="182"/>
      <c r="B157" s="175"/>
      <c r="C157" s="176"/>
      <c r="D157" s="176"/>
      <c r="E157" s="176"/>
      <c r="F157" s="123"/>
      <c r="G157" s="123"/>
      <c r="H157" s="123"/>
      <c r="I157" s="123"/>
      <c r="J157" s="174"/>
      <c r="K157" s="182"/>
      <c r="L157" s="182"/>
      <c r="M157" s="182"/>
      <c r="N157" s="182"/>
      <c r="O157" s="182"/>
      <c r="P157" s="182"/>
      <c r="Q157" s="182"/>
      <c r="R157" s="182"/>
      <c r="S157" s="182"/>
      <c r="T157" s="182"/>
      <c r="U157" s="182"/>
      <c r="V157" s="182"/>
      <c r="W157" s="182"/>
      <c r="X157" s="182"/>
      <c r="Y157" s="182"/>
    </row>
    <row r="158" spans="1:25" ht="15.75" hidden="1" customHeight="1" x14ac:dyDescent="0.2">
      <c r="A158" s="182"/>
      <c r="B158" s="175"/>
      <c r="C158" s="176"/>
      <c r="D158" s="176"/>
      <c r="E158" s="176"/>
      <c r="F158" s="123"/>
      <c r="G158" s="123"/>
      <c r="H158" s="123"/>
      <c r="I158" s="123"/>
      <c r="J158" s="174"/>
      <c r="K158" s="182"/>
      <c r="L158" s="182"/>
      <c r="M158" s="182"/>
      <c r="N158" s="182"/>
      <c r="O158" s="182"/>
      <c r="P158" s="182"/>
      <c r="Q158" s="182"/>
      <c r="R158" s="182"/>
      <c r="S158" s="182"/>
      <c r="T158" s="182"/>
      <c r="U158" s="182"/>
      <c r="V158" s="182"/>
      <c r="W158" s="182"/>
      <c r="X158" s="182"/>
      <c r="Y158" s="182"/>
    </row>
    <row r="159" spans="1:25" ht="15.75" hidden="1" customHeight="1" x14ac:dyDescent="0.2">
      <c r="A159" s="182"/>
      <c r="B159" s="175"/>
      <c r="C159" s="176"/>
      <c r="D159" s="176"/>
      <c r="E159" s="176"/>
      <c r="F159" s="123"/>
      <c r="G159" s="123"/>
      <c r="H159" s="123"/>
      <c r="I159" s="123"/>
      <c r="J159" s="174"/>
      <c r="K159" s="182"/>
      <c r="L159" s="182"/>
      <c r="M159" s="182"/>
      <c r="N159" s="182"/>
      <c r="O159" s="182"/>
      <c r="P159" s="182"/>
      <c r="Q159" s="182"/>
      <c r="R159" s="182"/>
      <c r="S159" s="182"/>
      <c r="T159" s="182"/>
      <c r="U159" s="182"/>
      <c r="V159" s="182"/>
      <c r="W159" s="182"/>
      <c r="X159" s="182"/>
      <c r="Y159" s="182"/>
    </row>
    <row r="160" spans="1:25" ht="15.75" hidden="1" customHeight="1" x14ac:dyDescent="0.2">
      <c r="A160" s="182"/>
      <c r="B160" s="175"/>
      <c r="C160" s="176"/>
      <c r="D160" s="176"/>
      <c r="E160" s="176"/>
      <c r="F160" s="123"/>
      <c r="G160" s="123"/>
      <c r="H160" s="123"/>
      <c r="I160" s="123"/>
      <c r="J160" s="174"/>
      <c r="K160" s="182"/>
      <c r="L160" s="182"/>
      <c r="M160" s="182"/>
      <c r="N160" s="182"/>
      <c r="O160" s="182"/>
      <c r="P160" s="182"/>
      <c r="Q160" s="182"/>
      <c r="R160" s="182"/>
      <c r="S160" s="182"/>
      <c r="T160" s="182"/>
      <c r="U160" s="182"/>
      <c r="V160" s="182"/>
      <c r="W160" s="182"/>
      <c r="X160" s="182"/>
      <c r="Y160" s="182"/>
    </row>
    <row r="161" spans="1:25" ht="15.75" hidden="1" customHeight="1" x14ac:dyDescent="0.2">
      <c r="A161" s="182"/>
      <c r="B161" s="175"/>
      <c r="C161" s="176"/>
      <c r="D161" s="176"/>
      <c r="E161" s="176"/>
      <c r="F161" s="123"/>
      <c r="G161" s="123"/>
      <c r="H161" s="123"/>
      <c r="I161" s="123"/>
      <c r="J161" s="174"/>
      <c r="K161" s="182"/>
      <c r="L161" s="182"/>
      <c r="M161" s="182"/>
      <c r="N161" s="182"/>
      <c r="O161" s="182"/>
      <c r="P161" s="182"/>
      <c r="Q161" s="182"/>
      <c r="R161" s="182"/>
      <c r="S161" s="182"/>
      <c r="T161" s="182"/>
      <c r="U161" s="182"/>
      <c r="V161" s="182"/>
      <c r="W161" s="182"/>
      <c r="X161" s="182"/>
      <c r="Y161" s="182"/>
    </row>
    <row r="162" spans="1:25" ht="15.75" hidden="1" customHeight="1" x14ac:dyDescent="0.2">
      <c r="A162" s="182"/>
      <c r="B162" s="175"/>
      <c r="C162" s="176"/>
      <c r="D162" s="176"/>
      <c r="E162" s="176"/>
      <c r="F162" s="123"/>
      <c r="G162" s="123"/>
      <c r="H162" s="123"/>
      <c r="I162" s="123"/>
      <c r="J162" s="174"/>
      <c r="K162" s="182"/>
      <c r="L162" s="182"/>
      <c r="M162" s="182"/>
      <c r="N162" s="182"/>
      <c r="O162" s="182"/>
      <c r="P162" s="182"/>
      <c r="Q162" s="182"/>
      <c r="R162" s="182"/>
      <c r="S162" s="182"/>
      <c r="T162" s="182"/>
      <c r="U162" s="182"/>
      <c r="V162" s="182"/>
      <c r="W162" s="182"/>
      <c r="X162" s="182"/>
      <c r="Y162" s="182"/>
    </row>
    <row r="163" spans="1:25" ht="15.75" hidden="1" customHeight="1" x14ac:dyDescent="0.2">
      <c r="A163" s="182"/>
      <c r="B163" s="175"/>
      <c r="C163" s="176"/>
      <c r="D163" s="176"/>
      <c r="E163" s="176"/>
      <c r="F163" s="123"/>
      <c r="G163" s="123"/>
      <c r="H163" s="123"/>
      <c r="I163" s="123"/>
      <c r="J163" s="174"/>
      <c r="K163" s="182"/>
      <c r="L163" s="182"/>
      <c r="M163" s="182"/>
      <c r="N163" s="182"/>
      <c r="O163" s="182"/>
      <c r="P163" s="182"/>
      <c r="Q163" s="182"/>
      <c r="R163" s="182"/>
      <c r="S163" s="182"/>
      <c r="T163" s="182"/>
      <c r="U163" s="182"/>
      <c r="V163" s="182"/>
      <c r="W163" s="182"/>
      <c r="X163" s="182"/>
      <c r="Y163" s="182"/>
    </row>
    <row r="164" spans="1:25" ht="15.75" hidden="1" customHeight="1" x14ac:dyDescent="0.2">
      <c r="A164" s="182"/>
      <c r="B164" s="175"/>
      <c r="C164" s="176"/>
      <c r="D164" s="176"/>
      <c r="E164" s="176"/>
      <c r="F164" s="123"/>
      <c r="G164" s="123"/>
      <c r="H164" s="123"/>
      <c r="I164" s="123"/>
      <c r="J164" s="174"/>
      <c r="K164" s="182"/>
      <c r="L164" s="182"/>
      <c r="M164" s="182"/>
      <c r="N164" s="182"/>
      <c r="O164" s="182"/>
      <c r="P164" s="182"/>
      <c r="Q164" s="182"/>
      <c r="R164" s="182"/>
      <c r="S164" s="182"/>
      <c r="T164" s="182"/>
      <c r="U164" s="182"/>
      <c r="V164" s="182"/>
      <c r="W164" s="182"/>
      <c r="X164" s="182"/>
      <c r="Y164" s="182"/>
    </row>
    <row r="165" spans="1:25" ht="15.75" hidden="1" customHeight="1" x14ac:dyDescent="0.2">
      <c r="A165" s="182"/>
      <c r="B165" s="175"/>
      <c r="C165" s="176"/>
      <c r="D165" s="176"/>
      <c r="E165" s="176"/>
      <c r="F165" s="123"/>
      <c r="G165" s="123"/>
      <c r="H165" s="123"/>
      <c r="I165" s="123"/>
      <c r="J165" s="174"/>
      <c r="K165" s="182"/>
      <c r="L165" s="182"/>
      <c r="M165" s="182"/>
      <c r="N165" s="182"/>
      <c r="O165" s="182"/>
      <c r="P165" s="182"/>
      <c r="Q165" s="182"/>
      <c r="R165" s="182"/>
      <c r="S165" s="182"/>
      <c r="T165" s="182"/>
      <c r="U165" s="182"/>
      <c r="V165" s="182"/>
      <c r="W165" s="182"/>
      <c r="X165" s="182"/>
      <c r="Y165" s="182"/>
    </row>
    <row r="166" spans="1:25" ht="15.75" hidden="1" customHeight="1" x14ac:dyDescent="0.2">
      <c r="A166" s="182"/>
      <c r="B166" s="175"/>
      <c r="C166" s="176"/>
      <c r="D166" s="176"/>
      <c r="E166" s="176"/>
      <c r="F166" s="123"/>
      <c r="G166" s="123"/>
      <c r="H166" s="123"/>
      <c r="I166" s="123"/>
      <c r="J166" s="174"/>
      <c r="K166" s="182"/>
      <c r="L166" s="182"/>
      <c r="M166" s="182"/>
      <c r="N166" s="182"/>
      <c r="O166" s="182"/>
      <c r="P166" s="182"/>
      <c r="Q166" s="182"/>
      <c r="R166" s="182"/>
      <c r="S166" s="182"/>
      <c r="T166" s="182"/>
      <c r="U166" s="182"/>
      <c r="V166" s="182"/>
      <c r="W166" s="182"/>
      <c r="X166" s="182"/>
      <c r="Y166" s="182"/>
    </row>
    <row r="167" spans="1:25" ht="15.75" hidden="1" customHeight="1" x14ac:dyDescent="0.2">
      <c r="A167" s="182"/>
      <c r="B167" s="175"/>
      <c r="C167" s="176"/>
      <c r="D167" s="176"/>
      <c r="E167" s="176"/>
      <c r="F167" s="123"/>
      <c r="G167" s="123"/>
      <c r="H167" s="123"/>
      <c r="I167" s="123"/>
      <c r="J167" s="174"/>
      <c r="K167" s="182"/>
      <c r="L167" s="182"/>
      <c r="M167" s="182"/>
      <c r="N167" s="182"/>
      <c r="O167" s="182"/>
      <c r="P167" s="182"/>
      <c r="Q167" s="182"/>
      <c r="R167" s="182"/>
      <c r="S167" s="182"/>
      <c r="T167" s="182"/>
      <c r="U167" s="182"/>
      <c r="V167" s="182"/>
      <c r="W167" s="182"/>
      <c r="X167" s="182"/>
      <c r="Y167" s="182"/>
    </row>
    <row r="168" spans="1:25" ht="15.75" hidden="1" customHeight="1" x14ac:dyDescent="0.2">
      <c r="A168" s="182"/>
      <c r="B168" s="175"/>
      <c r="C168" s="176"/>
      <c r="D168" s="176"/>
      <c r="E168" s="176"/>
      <c r="F168" s="123"/>
      <c r="G168" s="123"/>
      <c r="H168" s="123"/>
      <c r="I168" s="123"/>
      <c r="J168" s="174"/>
      <c r="K168" s="182"/>
      <c r="L168" s="182"/>
      <c r="M168" s="182"/>
      <c r="N168" s="182"/>
      <c r="O168" s="182"/>
      <c r="P168" s="182"/>
      <c r="Q168" s="182"/>
      <c r="R168" s="182"/>
      <c r="S168" s="182"/>
      <c r="T168" s="182"/>
      <c r="U168" s="182"/>
      <c r="V168" s="182"/>
      <c r="W168" s="182"/>
      <c r="X168" s="182"/>
      <c r="Y168" s="182"/>
    </row>
    <row r="169" spans="1:25" ht="15.75" hidden="1" customHeight="1" x14ac:dyDescent="0.2">
      <c r="A169" s="182"/>
      <c r="B169" s="175"/>
      <c r="C169" s="176"/>
      <c r="D169" s="176"/>
      <c r="E169" s="176"/>
      <c r="F169" s="123"/>
      <c r="G169" s="123"/>
      <c r="H169" s="123"/>
      <c r="I169" s="123"/>
      <c r="J169" s="174"/>
      <c r="K169" s="182"/>
      <c r="L169" s="182"/>
      <c r="M169" s="182"/>
      <c r="N169" s="182"/>
      <c r="O169" s="182"/>
      <c r="P169" s="182"/>
      <c r="Q169" s="182"/>
      <c r="R169" s="182"/>
      <c r="S169" s="182"/>
      <c r="T169" s="182"/>
      <c r="U169" s="182"/>
      <c r="V169" s="182"/>
      <c r="W169" s="182"/>
      <c r="X169" s="182"/>
      <c r="Y169" s="182"/>
    </row>
    <row r="170" spans="1:25" ht="15.75" hidden="1" customHeight="1" x14ac:dyDescent="0.2">
      <c r="A170" s="182"/>
      <c r="B170" s="175"/>
      <c r="C170" s="176"/>
      <c r="D170" s="176"/>
      <c r="E170" s="176"/>
      <c r="F170" s="123"/>
      <c r="G170" s="123"/>
      <c r="H170" s="123"/>
      <c r="I170" s="123"/>
      <c r="J170" s="174"/>
      <c r="K170" s="182"/>
      <c r="L170" s="182"/>
      <c r="M170" s="182"/>
      <c r="N170" s="182"/>
      <c r="O170" s="182"/>
      <c r="P170" s="182"/>
      <c r="Q170" s="182"/>
      <c r="R170" s="182"/>
      <c r="S170" s="182"/>
      <c r="T170" s="182"/>
      <c r="U170" s="182"/>
      <c r="V170" s="182"/>
      <c r="W170" s="182"/>
      <c r="X170" s="182"/>
      <c r="Y170" s="182"/>
    </row>
    <row r="171" spans="1:25" ht="15.75" hidden="1" customHeight="1" x14ac:dyDescent="0.2">
      <c r="A171" s="182"/>
      <c r="B171" s="175"/>
      <c r="C171" s="176"/>
      <c r="D171" s="176"/>
      <c r="E171" s="176"/>
      <c r="F171" s="123"/>
      <c r="G171" s="123"/>
      <c r="H171" s="123"/>
      <c r="I171" s="123"/>
      <c r="J171" s="174"/>
      <c r="K171" s="182"/>
      <c r="L171" s="182"/>
      <c r="M171" s="182"/>
      <c r="N171" s="182"/>
      <c r="O171" s="182"/>
      <c r="P171" s="182"/>
      <c r="Q171" s="182"/>
      <c r="R171" s="182"/>
      <c r="S171" s="182"/>
      <c r="T171" s="182"/>
      <c r="U171" s="182"/>
      <c r="V171" s="182"/>
      <c r="W171" s="182"/>
      <c r="X171" s="182"/>
      <c r="Y171" s="182"/>
    </row>
    <row r="172" spans="1:25" ht="15.75" hidden="1" customHeight="1" x14ac:dyDescent="0.2">
      <c r="A172" s="182"/>
      <c r="B172" s="175"/>
      <c r="C172" s="176"/>
      <c r="D172" s="176"/>
      <c r="E172" s="176"/>
      <c r="F172" s="123"/>
      <c r="G172" s="123"/>
      <c r="H172" s="123"/>
      <c r="I172" s="123"/>
      <c r="J172" s="174"/>
      <c r="K172" s="182"/>
      <c r="L172" s="182"/>
      <c r="M172" s="182"/>
      <c r="N172" s="182"/>
      <c r="O172" s="182"/>
      <c r="P172" s="182"/>
      <c r="Q172" s="182"/>
      <c r="R172" s="182"/>
      <c r="S172" s="182"/>
      <c r="T172" s="182"/>
      <c r="U172" s="182"/>
      <c r="V172" s="182"/>
      <c r="W172" s="182"/>
      <c r="X172" s="182"/>
      <c r="Y172" s="182"/>
    </row>
    <row r="173" spans="1:25" ht="15.75" hidden="1" customHeight="1" x14ac:dyDescent="0.2">
      <c r="A173" s="182"/>
      <c r="B173" s="175"/>
      <c r="C173" s="176"/>
      <c r="D173" s="176"/>
      <c r="E173" s="176"/>
      <c r="F173" s="123"/>
      <c r="G173" s="123"/>
      <c r="H173" s="123"/>
      <c r="I173" s="123"/>
      <c r="J173" s="174"/>
      <c r="K173" s="182"/>
      <c r="L173" s="182"/>
      <c r="M173" s="182"/>
      <c r="N173" s="182"/>
      <c r="O173" s="182"/>
      <c r="P173" s="182"/>
      <c r="Q173" s="182"/>
      <c r="R173" s="182"/>
      <c r="S173" s="182"/>
      <c r="T173" s="182"/>
      <c r="U173" s="182"/>
      <c r="V173" s="182"/>
      <c r="W173" s="182"/>
      <c r="X173" s="182"/>
      <c r="Y173" s="182"/>
    </row>
    <row r="174" spans="1:25" ht="15.75" hidden="1" customHeight="1" x14ac:dyDescent="0.2">
      <c r="A174" s="182"/>
      <c r="B174" s="175"/>
      <c r="C174" s="176"/>
      <c r="D174" s="176"/>
      <c r="E174" s="176"/>
      <c r="F174" s="123"/>
      <c r="G174" s="123"/>
      <c r="H174" s="123"/>
      <c r="I174" s="123"/>
      <c r="J174" s="174"/>
      <c r="K174" s="182"/>
      <c r="L174" s="182"/>
      <c r="M174" s="182"/>
      <c r="N174" s="182"/>
      <c r="O174" s="182"/>
      <c r="P174" s="182"/>
      <c r="Q174" s="182"/>
      <c r="R174" s="182"/>
      <c r="S174" s="182"/>
      <c r="T174" s="182"/>
      <c r="U174" s="182"/>
      <c r="V174" s="182"/>
      <c r="W174" s="182"/>
      <c r="X174" s="182"/>
      <c r="Y174" s="182"/>
    </row>
    <row r="175" spans="1:25" ht="15.75" hidden="1" customHeight="1" x14ac:dyDescent="0.2">
      <c r="A175" s="182"/>
      <c r="B175" s="175"/>
      <c r="C175" s="176"/>
      <c r="D175" s="176"/>
      <c r="E175" s="176"/>
      <c r="F175" s="123"/>
      <c r="G175" s="123"/>
      <c r="H175" s="123"/>
      <c r="I175" s="123"/>
      <c r="J175" s="174"/>
      <c r="K175" s="182"/>
      <c r="L175" s="182"/>
      <c r="M175" s="182"/>
      <c r="N175" s="182"/>
      <c r="O175" s="182"/>
      <c r="P175" s="182"/>
      <c r="Q175" s="182"/>
      <c r="R175" s="182"/>
      <c r="S175" s="182"/>
      <c r="T175" s="182"/>
      <c r="U175" s="182"/>
      <c r="V175" s="182"/>
      <c r="W175" s="182"/>
      <c r="X175" s="182"/>
      <c r="Y175" s="182"/>
    </row>
    <row r="176" spans="1:25" ht="15.75" hidden="1" customHeight="1" x14ac:dyDescent="0.2">
      <c r="A176" s="182"/>
      <c r="B176" s="175"/>
      <c r="C176" s="176"/>
      <c r="D176" s="176"/>
      <c r="E176" s="176"/>
      <c r="F176" s="123"/>
      <c r="G176" s="123"/>
      <c r="H176" s="123"/>
      <c r="I176" s="123"/>
      <c r="J176" s="174"/>
      <c r="K176" s="182"/>
      <c r="L176" s="182"/>
      <c r="M176" s="182"/>
      <c r="N176" s="182"/>
      <c r="O176" s="182"/>
      <c r="P176" s="182"/>
      <c r="Q176" s="182"/>
      <c r="R176" s="182"/>
      <c r="S176" s="182"/>
      <c r="T176" s="182"/>
      <c r="U176" s="182"/>
      <c r="V176" s="182"/>
      <c r="W176" s="182"/>
      <c r="X176" s="182"/>
      <c r="Y176" s="182"/>
    </row>
    <row r="177" spans="1:25" ht="15.75" hidden="1" customHeight="1" x14ac:dyDescent="0.2">
      <c r="A177" s="182"/>
      <c r="B177" s="175"/>
      <c r="C177" s="176"/>
      <c r="D177" s="176"/>
      <c r="E177" s="176"/>
      <c r="F177" s="123"/>
      <c r="G177" s="123"/>
      <c r="H177" s="123"/>
      <c r="I177" s="123"/>
      <c r="J177" s="174"/>
      <c r="K177" s="182"/>
      <c r="L177" s="182"/>
      <c r="M177" s="182"/>
      <c r="N177" s="182"/>
      <c r="O177" s="182"/>
      <c r="P177" s="182"/>
      <c r="Q177" s="182"/>
      <c r="R177" s="182"/>
      <c r="S177" s="182"/>
      <c r="T177" s="182"/>
      <c r="U177" s="182"/>
      <c r="V177" s="182"/>
      <c r="W177" s="182"/>
      <c r="X177" s="182"/>
      <c r="Y177" s="182"/>
    </row>
    <row r="178" spans="1:25" ht="15.75" hidden="1" customHeight="1" x14ac:dyDescent="0.2">
      <c r="A178" s="182"/>
      <c r="B178" s="175"/>
      <c r="C178" s="176"/>
      <c r="D178" s="176"/>
      <c r="E178" s="176"/>
      <c r="F178" s="123"/>
      <c r="G178" s="123"/>
      <c r="H178" s="123"/>
      <c r="I178" s="123"/>
      <c r="J178" s="174"/>
      <c r="K178" s="182"/>
      <c r="L178" s="182"/>
      <c r="M178" s="182"/>
      <c r="N178" s="182"/>
      <c r="O178" s="182"/>
      <c r="P178" s="182"/>
      <c r="Q178" s="182"/>
      <c r="R178" s="182"/>
      <c r="S178" s="182"/>
      <c r="T178" s="182"/>
      <c r="U178" s="182"/>
      <c r="V178" s="182"/>
      <c r="W178" s="182"/>
      <c r="X178" s="182"/>
      <c r="Y178" s="182"/>
    </row>
    <row r="179" spans="1:25" ht="15.75" hidden="1" customHeight="1" x14ac:dyDescent="0.2">
      <c r="A179" s="182"/>
      <c r="B179" s="175"/>
      <c r="C179" s="176"/>
      <c r="D179" s="176"/>
      <c r="E179" s="176"/>
      <c r="F179" s="123"/>
      <c r="G179" s="123"/>
      <c r="H179" s="123"/>
      <c r="I179" s="123"/>
      <c r="J179" s="174"/>
      <c r="K179" s="182"/>
      <c r="L179" s="182"/>
      <c r="M179" s="182"/>
      <c r="N179" s="182"/>
      <c r="O179" s="182"/>
      <c r="P179" s="182"/>
      <c r="Q179" s="182"/>
      <c r="R179" s="182"/>
      <c r="S179" s="182"/>
      <c r="T179" s="182"/>
      <c r="U179" s="182"/>
      <c r="V179" s="182"/>
      <c r="W179" s="182"/>
      <c r="X179" s="182"/>
      <c r="Y179" s="182"/>
    </row>
    <row r="180" spans="1:25" ht="15.75" hidden="1" customHeight="1" x14ac:dyDescent="0.2">
      <c r="A180" s="182"/>
      <c r="B180" s="175"/>
      <c r="C180" s="176"/>
      <c r="D180" s="176"/>
      <c r="E180" s="176"/>
      <c r="F180" s="123"/>
      <c r="G180" s="123"/>
      <c r="H180" s="123"/>
      <c r="I180" s="123"/>
      <c r="J180" s="174"/>
      <c r="K180" s="182"/>
      <c r="L180" s="182"/>
      <c r="M180" s="182"/>
      <c r="N180" s="182"/>
      <c r="O180" s="182"/>
      <c r="P180" s="182"/>
      <c r="Q180" s="182"/>
      <c r="R180" s="182"/>
      <c r="S180" s="182"/>
      <c r="T180" s="182"/>
      <c r="U180" s="182"/>
      <c r="V180" s="182"/>
      <c r="W180" s="182"/>
      <c r="X180" s="182"/>
      <c r="Y180" s="182"/>
    </row>
    <row r="181" spans="1:25" ht="15.75" hidden="1" customHeight="1" x14ac:dyDescent="0.2">
      <c r="A181" s="182"/>
      <c r="B181" s="175"/>
      <c r="C181" s="176"/>
      <c r="D181" s="176"/>
      <c r="E181" s="176"/>
      <c r="F181" s="123"/>
      <c r="G181" s="123"/>
      <c r="H181" s="123"/>
      <c r="I181" s="123"/>
      <c r="J181" s="174"/>
      <c r="K181" s="182"/>
      <c r="L181" s="182"/>
      <c r="M181" s="182"/>
      <c r="N181" s="182"/>
      <c r="O181" s="182"/>
      <c r="P181" s="182"/>
      <c r="Q181" s="182"/>
      <c r="R181" s="182"/>
      <c r="S181" s="182"/>
      <c r="T181" s="182"/>
      <c r="U181" s="182"/>
      <c r="V181" s="182"/>
      <c r="W181" s="182"/>
      <c r="X181" s="182"/>
      <c r="Y181" s="182"/>
    </row>
    <row r="182" spans="1:25" ht="15.75" hidden="1" customHeight="1" x14ac:dyDescent="0.2">
      <c r="A182" s="182"/>
      <c r="B182" s="175"/>
      <c r="C182" s="176"/>
      <c r="D182" s="176"/>
      <c r="E182" s="176"/>
      <c r="F182" s="123"/>
      <c r="G182" s="123"/>
      <c r="H182" s="123"/>
      <c r="I182" s="123"/>
      <c r="J182" s="174"/>
      <c r="K182" s="182"/>
      <c r="L182" s="182"/>
      <c r="M182" s="182"/>
      <c r="N182" s="182"/>
      <c r="O182" s="182"/>
      <c r="P182" s="182"/>
      <c r="Q182" s="182"/>
      <c r="R182" s="182"/>
      <c r="S182" s="182"/>
      <c r="T182" s="182"/>
      <c r="U182" s="182"/>
      <c r="V182" s="182"/>
      <c r="W182" s="182"/>
      <c r="X182" s="182"/>
      <c r="Y182" s="182"/>
    </row>
    <row r="183" spans="1:25" ht="15.75" hidden="1" customHeight="1" x14ac:dyDescent="0.2">
      <c r="A183" s="182"/>
      <c r="B183" s="175"/>
      <c r="C183" s="176"/>
      <c r="D183" s="176"/>
      <c r="E183" s="176"/>
      <c r="F183" s="123"/>
      <c r="G183" s="123"/>
      <c r="H183" s="123"/>
      <c r="I183" s="123"/>
      <c r="J183" s="174"/>
      <c r="K183" s="182"/>
      <c r="L183" s="182"/>
      <c r="M183" s="182"/>
      <c r="N183" s="182"/>
      <c r="O183" s="182"/>
      <c r="P183" s="182"/>
      <c r="Q183" s="182"/>
      <c r="R183" s="182"/>
      <c r="S183" s="182"/>
      <c r="T183" s="182"/>
      <c r="U183" s="182"/>
      <c r="V183" s="182"/>
      <c r="W183" s="182"/>
      <c r="X183" s="182"/>
      <c r="Y183" s="182"/>
    </row>
    <row r="184" spans="1:25" ht="15.75" hidden="1" customHeight="1" x14ac:dyDescent="0.2">
      <c r="A184" s="182"/>
      <c r="B184" s="175"/>
      <c r="C184" s="176"/>
      <c r="D184" s="176"/>
      <c r="E184" s="176"/>
      <c r="F184" s="123"/>
      <c r="G184" s="123"/>
      <c r="H184" s="123"/>
      <c r="I184" s="123"/>
      <c r="J184" s="174"/>
      <c r="K184" s="182"/>
      <c r="L184" s="182"/>
      <c r="M184" s="182"/>
      <c r="N184" s="182"/>
      <c r="O184" s="182"/>
      <c r="P184" s="182"/>
      <c r="Q184" s="182"/>
      <c r="R184" s="182"/>
      <c r="S184" s="182"/>
      <c r="T184" s="182"/>
      <c r="U184" s="182"/>
      <c r="V184" s="182"/>
      <c r="W184" s="182"/>
      <c r="X184" s="182"/>
      <c r="Y184" s="182"/>
    </row>
    <row r="185" spans="1:25" ht="15.75" hidden="1" customHeight="1" x14ac:dyDescent="0.2">
      <c r="A185" s="182"/>
      <c r="B185" s="175"/>
      <c r="C185" s="176"/>
      <c r="D185" s="176"/>
      <c r="E185" s="176"/>
      <c r="F185" s="123"/>
      <c r="G185" s="123"/>
      <c r="H185" s="123"/>
      <c r="I185" s="123"/>
      <c r="J185" s="174"/>
      <c r="K185" s="182"/>
      <c r="L185" s="182"/>
      <c r="M185" s="182"/>
      <c r="N185" s="182"/>
      <c r="O185" s="182"/>
      <c r="P185" s="182"/>
      <c r="Q185" s="182"/>
      <c r="R185" s="182"/>
      <c r="S185" s="182"/>
      <c r="T185" s="182"/>
      <c r="U185" s="182"/>
      <c r="V185" s="182"/>
      <c r="W185" s="182"/>
      <c r="X185" s="182"/>
      <c r="Y185" s="182"/>
    </row>
    <row r="186" spans="1:25" ht="15.75" hidden="1" customHeight="1" x14ac:dyDescent="0.2">
      <c r="A186" s="182"/>
      <c r="B186" s="175"/>
      <c r="C186" s="176"/>
      <c r="D186" s="176"/>
      <c r="E186" s="176"/>
      <c r="F186" s="123"/>
      <c r="G186" s="123"/>
      <c r="H186" s="123"/>
      <c r="I186" s="123"/>
      <c r="J186" s="174"/>
      <c r="K186" s="182"/>
      <c r="L186" s="182"/>
      <c r="M186" s="182"/>
      <c r="N186" s="182"/>
      <c r="O186" s="182"/>
      <c r="P186" s="182"/>
      <c r="Q186" s="182"/>
      <c r="R186" s="182"/>
      <c r="S186" s="182"/>
      <c r="T186" s="182"/>
      <c r="U186" s="182"/>
      <c r="V186" s="182"/>
      <c r="W186" s="182"/>
      <c r="X186" s="182"/>
      <c r="Y186" s="182"/>
    </row>
    <row r="187" spans="1:25" ht="15.75" hidden="1" customHeight="1" x14ac:dyDescent="0.2">
      <c r="A187" s="182"/>
      <c r="B187" s="175"/>
      <c r="C187" s="176"/>
      <c r="D187" s="176"/>
      <c r="E187" s="176"/>
      <c r="F187" s="123"/>
      <c r="G187" s="123"/>
      <c r="H187" s="123"/>
      <c r="I187" s="123"/>
      <c r="J187" s="174"/>
      <c r="K187" s="182"/>
      <c r="L187" s="182"/>
      <c r="M187" s="182"/>
      <c r="N187" s="182"/>
      <c r="O187" s="182"/>
      <c r="P187" s="182"/>
      <c r="Q187" s="182"/>
      <c r="R187" s="182"/>
      <c r="S187" s="182"/>
      <c r="T187" s="182"/>
      <c r="U187" s="182"/>
      <c r="V187" s="182"/>
      <c r="W187" s="182"/>
      <c r="X187" s="182"/>
      <c r="Y187" s="182"/>
    </row>
    <row r="188" spans="1:25" ht="15.75" hidden="1" customHeight="1" x14ac:dyDescent="0.2">
      <c r="A188" s="182"/>
      <c r="B188" s="175"/>
      <c r="C188" s="176"/>
      <c r="D188" s="176"/>
      <c r="E188" s="176"/>
      <c r="F188" s="123"/>
      <c r="G188" s="123"/>
      <c r="H188" s="123"/>
      <c r="I188" s="123"/>
      <c r="J188" s="174"/>
      <c r="K188" s="182"/>
      <c r="L188" s="182"/>
      <c r="M188" s="182"/>
      <c r="N188" s="182"/>
      <c r="O188" s="182"/>
      <c r="P188" s="182"/>
      <c r="Q188" s="182"/>
      <c r="R188" s="182"/>
      <c r="S188" s="182"/>
      <c r="T188" s="182"/>
      <c r="U188" s="182"/>
      <c r="V188" s="182"/>
      <c r="W188" s="182"/>
      <c r="X188" s="182"/>
      <c r="Y188" s="182"/>
    </row>
    <row r="189" spans="1:25" ht="15.75" hidden="1" customHeight="1" x14ac:dyDescent="0.2">
      <c r="A189" s="182"/>
      <c r="B189" s="175"/>
      <c r="C189" s="176"/>
      <c r="D189" s="176"/>
      <c r="E189" s="176"/>
      <c r="F189" s="123"/>
      <c r="G189" s="123"/>
      <c r="H189" s="123"/>
      <c r="I189" s="123"/>
      <c r="J189" s="174"/>
      <c r="K189" s="182"/>
      <c r="L189" s="182"/>
      <c r="M189" s="182"/>
      <c r="N189" s="182"/>
      <c r="O189" s="182"/>
      <c r="P189" s="182"/>
      <c r="Q189" s="182"/>
      <c r="R189" s="182"/>
      <c r="S189" s="182"/>
      <c r="T189" s="182"/>
      <c r="U189" s="182"/>
      <c r="V189" s="182"/>
      <c r="W189" s="182"/>
      <c r="X189" s="182"/>
      <c r="Y189" s="182"/>
    </row>
    <row r="190" spans="1:25" ht="15.75" hidden="1" customHeight="1" x14ac:dyDescent="0.2">
      <c r="A190" s="182"/>
      <c r="B190" s="175"/>
      <c r="C190" s="176"/>
      <c r="D190" s="176"/>
      <c r="E190" s="176"/>
      <c r="F190" s="123"/>
      <c r="G190" s="123"/>
      <c r="H190" s="123"/>
      <c r="I190" s="123"/>
      <c r="J190" s="174"/>
      <c r="K190" s="182"/>
      <c r="L190" s="182"/>
      <c r="M190" s="182"/>
      <c r="N190" s="182"/>
      <c r="O190" s="182"/>
      <c r="P190" s="182"/>
      <c r="Q190" s="182"/>
      <c r="R190" s="182"/>
      <c r="S190" s="182"/>
      <c r="T190" s="182"/>
      <c r="U190" s="182"/>
      <c r="V190" s="182"/>
      <c r="W190" s="182"/>
      <c r="X190" s="182"/>
      <c r="Y190" s="182"/>
    </row>
    <row r="191" spans="1:25" ht="15.75" hidden="1" customHeight="1" x14ac:dyDescent="0.2">
      <c r="A191" s="182"/>
      <c r="B191" s="175"/>
      <c r="C191" s="176"/>
      <c r="D191" s="176"/>
      <c r="E191" s="176"/>
      <c r="F191" s="123"/>
      <c r="G191" s="123"/>
      <c r="H191" s="123"/>
      <c r="I191" s="123"/>
      <c r="J191" s="174"/>
      <c r="K191" s="182"/>
      <c r="L191" s="182"/>
      <c r="M191" s="182"/>
      <c r="N191" s="182"/>
      <c r="O191" s="182"/>
      <c r="P191" s="182"/>
      <c r="Q191" s="182"/>
      <c r="R191" s="182"/>
      <c r="S191" s="182"/>
      <c r="T191" s="182"/>
      <c r="U191" s="182"/>
      <c r="V191" s="182"/>
      <c r="W191" s="182"/>
      <c r="X191" s="182"/>
      <c r="Y191" s="182"/>
    </row>
    <row r="192" spans="1:25" ht="15.75" hidden="1" customHeight="1" x14ac:dyDescent="0.2">
      <c r="A192" s="182"/>
      <c r="B192" s="175"/>
      <c r="C192" s="176"/>
      <c r="D192" s="176"/>
      <c r="E192" s="176"/>
      <c r="F192" s="123"/>
      <c r="G192" s="123"/>
      <c r="H192" s="123"/>
      <c r="I192" s="123"/>
      <c r="J192" s="174"/>
      <c r="K192" s="182"/>
      <c r="L192" s="182"/>
      <c r="M192" s="182"/>
      <c r="N192" s="182"/>
      <c r="O192" s="182"/>
      <c r="P192" s="182"/>
      <c r="Q192" s="182"/>
      <c r="R192" s="182"/>
      <c r="S192" s="182"/>
      <c r="T192" s="182"/>
      <c r="U192" s="182"/>
      <c r="V192" s="182"/>
      <c r="W192" s="182"/>
      <c r="X192" s="182"/>
      <c r="Y192" s="182"/>
    </row>
    <row r="193" spans="1:25" ht="15.75" hidden="1" customHeight="1" x14ac:dyDescent="0.2">
      <c r="A193" s="182"/>
      <c r="B193" s="175"/>
      <c r="C193" s="176"/>
      <c r="D193" s="176"/>
      <c r="E193" s="176"/>
      <c r="F193" s="123"/>
      <c r="G193" s="123"/>
      <c r="H193" s="123"/>
      <c r="I193" s="123"/>
      <c r="J193" s="174"/>
      <c r="K193" s="182"/>
      <c r="L193" s="182"/>
      <c r="M193" s="182"/>
      <c r="N193" s="182"/>
      <c r="O193" s="182"/>
      <c r="P193" s="182"/>
      <c r="Q193" s="182"/>
      <c r="R193" s="182"/>
      <c r="S193" s="182"/>
      <c r="T193" s="182"/>
      <c r="U193" s="182"/>
      <c r="V193" s="182"/>
      <c r="W193" s="182"/>
      <c r="X193" s="182"/>
      <c r="Y193" s="182"/>
    </row>
    <row r="194" spans="1:25" ht="15.75" hidden="1" customHeight="1" x14ac:dyDescent="0.2">
      <c r="A194" s="182"/>
      <c r="B194" s="175"/>
      <c r="C194" s="176"/>
      <c r="D194" s="176"/>
      <c r="E194" s="176"/>
      <c r="F194" s="123"/>
      <c r="G194" s="123"/>
      <c r="H194" s="123"/>
      <c r="I194" s="123"/>
      <c r="J194" s="174"/>
      <c r="K194" s="182"/>
      <c r="L194" s="182"/>
      <c r="M194" s="182"/>
      <c r="N194" s="182"/>
      <c r="O194" s="182"/>
      <c r="P194" s="182"/>
      <c r="Q194" s="182"/>
      <c r="R194" s="182"/>
      <c r="S194" s="182"/>
      <c r="T194" s="182"/>
      <c r="U194" s="182"/>
      <c r="V194" s="182"/>
      <c r="W194" s="182"/>
      <c r="X194" s="182"/>
      <c r="Y194" s="182"/>
    </row>
    <row r="195" spans="1:25" ht="15.75" hidden="1" customHeight="1" x14ac:dyDescent="0.2">
      <c r="A195" s="182"/>
      <c r="B195" s="175"/>
      <c r="C195" s="176"/>
      <c r="D195" s="176"/>
      <c r="E195" s="176"/>
      <c r="F195" s="123"/>
      <c r="G195" s="123"/>
      <c r="H195" s="123"/>
      <c r="I195" s="123"/>
      <c r="J195" s="174"/>
      <c r="K195" s="182"/>
      <c r="L195" s="182"/>
      <c r="M195" s="182"/>
      <c r="N195" s="182"/>
      <c r="O195" s="182"/>
      <c r="P195" s="182"/>
      <c r="Q195" s="182"/>
      <c r="R195" s="182"/>
      <c r="S195" s="182"/>
      <c r="T195" s="182"/>
      <c r="U195" s="182"/>
      <c r="V195" s="182"/>
      <c r="W195" s="182"/>
      <c r="X195" s="182"/>
      <c r="Y195" s="182"/>
    </row>
    <row r="196" spans="1:25" ht="15.75" hidden="1" customHeight="1" x14ac:dyDescent="0.2">
      <c r="A196" s="182"/>
      <c r="B196" s="175"/>
      <c r="C196" s="176"/>
      <c r="D196" s="176"/>
      <c r="E196" s="176"/>
      <c r="F196" s="123"/>
      <c r="G196" s="123"/>
      <c r="H196" s="123"/>
      <c r="I196" s="123"/>
      <c r="J196" s="174"/>
      <c r="K196" s="182"/>
      <c r="L196" s="182"/>
      <c r="M196" s="182"/>
      <c r="N196" s="182"/>
      <c r="O196" s="182"/>
      <c r="P196" s="182"/>
      <c r="Q196" s="182"/>
      <c r="R196" s="182"/>
      <c r="S196" s="182"/>
      <c r="T196" s="182"/>
      <c r="U196" s="182"/>
      <c r="V196" s="182"/>
      <c r="W196" s="182"/>
      <c r="X196" s="182"/>
      <c r="Y196" s="182"/>
    </row>
    <row r="197" spans="1:25" ht="15.75" hidden="1" customHeight="1" x14ac:dyDescent="0.2">
      <c r="A197" s="182"/>
      <c r="B197" s="175"/>
      <c r="C197" s="176"/>
      <c r="D197" s="176"/>
      <c r="E197" s="176"/>
      <c r="F197" s="123"/>
      <c r="G197" s="123"/>
      <c r="H197" s="123"/>
      <c r="I197" s="123"/>
      <c r="J197" s="174"/>
      <c r="K197" s="182"/>
      <c r="L197" s="182"/>
      <c r="M197" s="182"/>
      <c r="N197" s="182"/>
      <c r="O197" s="182"/>
      <c r="P197" s="182"/>
      <c r="Q197" s="182"/>
      <c r="R197" s="182"/>
      <c r="S197" s="182"/>
      <c r="T197" s="182"/>
      <c r="U197" s="182"/>
      <c r="V197" s="182"/>
      <c r="W197" s="182"/>
      <c r="X197" s="182"/>
      <c r="Y197" s="182"/>
    </row>
    <row r="198" spans="1:25" ht="15.75" hidden="1" customHeight="1" x14ac:dyDescent="0.2">
      <c r="A198" s="182"/>
      <c r="B198" s="175"/>
      <c r="C198" s="176"/>
      <c r="D198" s="176"/>
      <c r="E198" s="176"/>
      <c r="F198" s="123"/>
      <c r="G198" s="123"/>
      <c r="H198" s="123"/>
      <c r="I198" s="123"/>
      <c r="J198" s="174"/>
      <c r="K198" s="182"/>
      <c r="L198" s="182"/>
      <c r="M198" s="182"/>
      <c r="N198" s="182"/>
      <c r="O198" s="182"/>
      <c r="P198" s="182"/>
      <c r="Q198" s="182"/>
      <c r="R198" s="182"/>
      <c r="S198" s="182"/>
      <c r="T198" s="182"/>
      <c r="U198" s="182"/>
      <c r="V198" s="182"/>
      <c r="W198" s="182"/>
      <c r="X198" s="182"/>
      <c r="Y198" s="182"/>
    </row>
    <row r="199" spans="1:25" ht="15.75" hidden="1" customHeight="1" x14ac:dyDescent="0.2">
      <c r="A199" s="182"/>
      <c r="B199" s="175"/>
      <c r="C199" s="176"/>
      <c r="D199" s="176"/>
      <c r="E199" s="176"/>
      <c r="F199" s="123"/>
      <c r="G199" s="123"/>
      <c r="H199" s="123"/>
      <c r="I199" s="123"/>
      <c r="J199" s="174"/>
      <c r="K199" s="182"/>
      <c r="L199" s="182"/>
      <c r="M199" s="182"/>
      <c r="N199" s="182"/>
      <c r="O199" s="182"/>
      <c r="P199" s="182"/>
      <c r="Q199" s="182"/>
      <c r="R199" s="182"/>
      <c r="S199" s="182"/>
      <c r="T199" s="182"/>
      <c r="U199" s="182"/>
      <c r="V199" s="182"/>
      <c r="W199" s="182"/>
      <c r="X199" s="182"/>
      <c r="Y199" s="182"/>
    </row>
    <row r="200" spans="1:25" ht="15.75" hidden="1" customHeight="1" x14ac:dyDescent="0.2">
      <c r="A200" s="182"/>
      <c r="B200" s="175"/>
      <c r="C200" s="176"/>
      <c r="D200" s="176"/>
      <c r="E200" s="176"/>
      <c r="F200" s="123"/>
      <c r="G200" s="123"/>
      <c r="H200" s="123"/>
      <c r="I200" s="123"/>
      <c r="J200" s="174"/>
      <c r="K200" s="182"/>
      <c r="L200" s="182"/>
      <c r="M200" s="182"/>
      <c r="N200" s="182"/>
      <c r="O200" s="182"/>
      <c r="P200" s="182"/>
      <c r="Q200" s="182"/>
      <c r="R200" s="182"/>
      <c r="S200" s="182"/>
      <c r="T200" s="182"/>
      <c r="U200" s="182"/>
      <c r="V200" s="182"/>
      <c r="W200" s="182"/>
      <c r="X200" s="182"/>
      <c r="Y200" s="182"/>
    </row>
    <row r="201" spans="1:25" ht="15.75" hidden="1" customHeight="1" x14ac:dyDescent="0.2">
      <c r="A201" s="182"/>
      <c r="B201" s="175"/>
      <c r="C201" s="176"/>
      <c r="D201" s="176"/>
      <c r="E201" s="176"/>
      <c r="F201" s="123"/>
      <c r="G201" s="123"/>
      <c r="H201" s="123"/>
      <c r="I201" s="123"/>
      <c r="J201" s="174"/>
      <c r="K201" s="182"/>
      <c r="L201" s="182"/>
      <c r="M201" s="182"/>
      <c r="N201" s="182"/>
      <c r="O201" s="182"/>
      <c r="P201" s="182"/>
      <c r="Q201" s="182"/>
      <c r="R201" s="182"/>
      <c r="S201" s="182"/>
      <c r="T201" s="182"/>
      <c r="U201" s="182"/>
      <c r="V201" s="182"/>
      <c r="W201" s="182"/>
      <c r="X201" s="182"/>
      <c r="Y201" s="182"/>
    </row>
    <row r="202" spans="1:25" ht="15.75" hidden="1" customHeight="1" x14ac:dyDescent="0.2">
      <c r="A202" s="182"/>
      <c r="B202" s="175"/>
      <c r="C202" s="176"/>
      <c r="D202" s="176"/>
      <c r="E202" s="176"/>
      <c r="F202" s="123"/>
      <c r="G202" s="123"/>
      <c r="H202" s="123"/>
      <c r="I202" s="123"/>
      <c r="J202" s="174"/>
      <c r="K202" s="182"/>
      <c r="L202" s="182"/>
      <c r="M202" s="182"/>
      <c r="N202" s="182"/>
      <c r="O202" s="182"/>
      <c r="P202" s="182"/>
      <c r="Q202" s="182"/>
      <c r="R202" s="182"/>
      <c r="S202" s="182"/>
      <c r="T202" s="182"/>
      <c r="U202" s="182"/>
      <c r="V202" s="182"/>
      <c r="W202" s="182"/>
      <c r="X202" s="182"/>
      <c r="Y202" s="182"/>
    </row>
    <row r="203" spans="1:25" ht="15.75" hidden="1" customHeight="1" x14ac:dyDescent="0.2">
      <c r="A203" s="182"/>
      <c r="B203" s="175"/>
      <c r="C203" s="176"/>
      <c r="D203" s="176"/>
      <c r="E203" s="176"/>
      <c r="F203" s="123"/>
      <c r="G203" s="123"/>
      <c r="H203" s="123"/>
      <c r="I203" s="123"/>
      <c r="J203" s="174"/>
      <c r="K203" s="182"/>
      <c r="L203" s="182"/>
      <c r="M203" s="182"/>
      <c r="N203" s="182"/>
      <c r="O203" s="182"/>
      <c r="P203" s="182"/>
      <c r="Q203" s="182"/>
      <c r="R203" s="182"/>
      <c r="S203" s="182"/>
      <c r="T203" s="182"/>
      <c r="U203" s="182"/>
      <c r="V203" s="182"/>
      <c r="W203" s="182"/>
      <c r="X203" s="182"/>
      <c r="Y203" s="182"/>
    </row>
    <row r="204" spans="1:25" ht="15.75" hidden="1" customHeight="1" x14ac:dyDescent="0.2">
      <c r="A204" s="182"/>
      <c r="B204" s="175"/>
      <c r="C204" s="176"/>
      <c r="D204" s="176"/>
      <c r="E204" s="176"/>
      <c r="F204" s="123"/>
      <c r="G204" s="123"/>
      <c r="H204" s="123"/>
      <c r="I204" s="123"/>
      <c r="J204" s="174"/>
      <c r="K204" s="182"/>
      <c r="L204" s="182"/>
      <c r="M204" s="182"/>
      <c r="N204" s="182"/>
      <c r="O204" s="182"/>
      <c r="P204" s="182"/>
      <c r="Q204" s="182"/>
      <c r="R204" s="182"/>
      <c r="S204" s="182"/>
      <c r="T204" s="182"/>
      <c r="U204" s="182"/>
      <c r="V204" s="182"/>
      <c r="W204" s="182"/>
      <c r="X204" s="182"/>
      <c r="Y204" s="182"/>
    </row>
    <row r="205" spans="1:25" ht="15.75" hidden="1" customHeight="1" x14ac:dyDescent="0.2">
      <c r="A205" s="182"/>
      <c r="B205" s="175"/>
      <c r="C205" s="176"/>
      <c r="D205" s="176"/>
      <c r="E205" s="176"/>
      <c r="F205" s="123"/>
      <c r="G205" s="123"/>
      <c r="H205" s="123"/>
      <c r="I205" s="123"/>
      <c r="J205" s="174"/>
      <c r="K205" s="182"/>
      <c r="L205" s="182"/>
      <c r="M205" s="182"/>
      <c r="N205" s="182"/>
      <c r="O205" s="182"/>
      <c r="P205" s="182"/>
      <c r="Q205" s="182"/>
      <c r="R205" s="182"/>
      <c r="S205" s="182"/>
      <c r="T205" s="182"/>
      <c r="U205" s="182"/>
      <c r="V205" s="182"/>
      <c r="W205" s="182"/>
      <c r="X205" s="182"/>
      <c r="Y205" s="182"/>
    </row>
    <row r="206" spans="1:25" ht="15.75" hidden="1" customHeight="1" x14ac:dyDescent="0.2">
      <c r="A206" s="182"/>
      <c r="B206" s="175"/>
      <c r="C206" s="176"/>
      <c r="D206" s="176"/>
      <c r="E206" s="176"/>
      <c r="F206" s="123"/>
      <c r="G206" s="123"/>
      <c r="H206" s="123"/>
      <c r="I206" s="123"/>
      <c r="J206" s="174"/>
      <c r="K206" s="182"/>
      <c r="L206" s="182"/>
      <c r="M206" s="182"/>
      <c r="N206" s="182"/>
      <c r="O206" s="182"/>
      <c r="P206" s="182"/>
      <c r="Q206" s="182"/>
      <c r="R206" s="182"/>
      <c r="S206" s="182"/>
      <c r="T206" s="182"/>
      <c r="U206" s="182"/>
      <c r="V206" s="182"/>
      <c r="W206" s="182"/>
      <c r="X206" s="182"/>
      <c r="Y206" s="182"/>
    </row>
    <row r="207" spans="1:25" ht="15.75" hidden="1" customHeight="1" x14ac:dyDescent="0.2">
      <c r="A207" s="182"/>
      <c r="B207" s="175"/>
      <c r="C207" s="176"/>
      <c r="D207" s="176"/>
      <c r="E207" s="176"/>
      <c r="F207" s="123"/>
      <c r="G207" s="123"/>
      <c r="H207" s="123"/>
      <c r="I207" s="123"/>
      <c r="J207" s="174"/>
      <c r="K207" s="182"/>
      <c r="L207" s="182"/>
      <c r="M207" s="182"/>
      <c r="N207" s="182"/>
      <c r="O207" s="182"/>
      <c r="P207" s="182"/>
      <c r="Q207" s="182"/>
      <c r="R207" s="182"/>
      <c r="S207" s="182"/>
      <c r="T207" s="182"/>
      <c r="U207" s="182"/>
      <c r="V207" s="182"/>
      <c r="W207" s="182"/>
      <c r="X207" s="182"/>
      <c r="Y207" s="182"/>
    </row>
    <row r="208" spans="1:25" ht="15.75" hidden="1" customHeight="1" x14ac:dyDescent="0.2">
      <c r="A208" s="182"/>
      <c r="B208" s="175"/>
      <c r="C208" s="176"/>
      <c r="D208" s="176"/>
      <c r="E208" s="176"/>
      <c r="F208" s="123"/>
      <c r="G208" s="123"/>
      <c r="H208" s="123"/>
      <c r="I208" s="123"/>
      <c r="J208" s="174"/>
      <c r="K208" s="182"/>
      <c r="L208" s="182"/>
      <c r="M208" s="182"/>
      <c r="N208" s="182"/>
      <c r="O208" s="182"/>
      <c r="P208" s="182"/>
      <c r="Q208" s="182"/>
      <c r="R208" s="182"/>
      <c r="S208" s="182"/>
      <c r="T208" s="182"/>
      <c r="U208" s="182"/>
      <c r="V208" s="182"/>
      <c r="W208" s="182"/>
      <c r="X208" s="182"/>
      <c r="Y208" s="182"/>
    </row>
    <row r="209" spans="1:25" ht="15.75" hidden="1" customHeight="1" x14ac:dyDescent="0.2">
      <c r="A209" s="182"/>
      <c r="B209" s="175"/>
      <c r="C209" s="176"/>
      <c r="D209" s="176"/>
      <c r="E209" s="176"/>
      <c r="F209" s="123"/>
      <c r="G209" s="123"/>
      <c r="H209" s="123"/>
      <c r="I209" s="123"/>
      <c r="J209" s="174"/>
      <c r="K209" s="182"/>
      <c r="L209" s="182"/>
      <c r="M209" s="182"/>
      <c r="N209" s="182"/>
      <c r="O209" s="182"/>
      <c r="P209" s="182"/>
      <c r="Q209" s="182"/>
      <c r="R209" s="182"/>
      <c r="S209" s="182"/>
      <c r="T209" s="182"/>
      <c r="U209" s="182"/>
      <c r="V209" s="182"/>
      <c r="W209" s="182"/>
      <c r="X209" s="182"/>
      <c r="Y209" s="182"/>
    </row>
    <row r="210" spans="1:25" ht="15.75" hidden="1" customHeight="1" x14ac:dyDescent="0.2">
      <c r="A210" s="182"/>
      <c r="B210" s="175"/>
      <c r="C210" s="176"/>
      <c r="D210" s="176"/>
      <c r="E210" s="176"/>
      <c r="F210" s="123"/>
      <c r="G210" s="123"/>
      <c r="H210" s="123"/>
      <c r="I210" s="123"/>
      <c r="J210" s="174"/>
      <c r="K210" s="182"/>
      <c r="L210" s="182"/>
      <c r="M210" s="182"/>
      <c r="N210" s="182"/>
      <c r="O210" s="182"/>
      <c r="P210" s="182"/>
      <c r="Q210" s="182"/>
      <c r="R210" s="182"/>
      <c r="S210" s="182"/>
      <c r="T210" s="182"/>
      <c r="U210" s="182"/>
      <c r="V210" s="182"/>
      <c r="W210" s="182"/>
      <c r="X210" s="182"/>
      <c r="Y210" s="182"/>
    </row>
    <row r="211" spans="1:25" ht="15.75" hidden="1" customHeight="1" x14ac:dyDescent="0.2">
      <c r="A211" s="182"/>
      <c r="B211" s="175"/>
      <c r="C211" s="176"/>
      <c r="D211" s="176"/>
      <c r="E211" s="176"/>
      <c r="F211" s="123"/>
      <c r="G211" s="123"/>
      <c r="H211" s="123"/>
      <c r="I211" s="123"/>
      <c r="J211" s="174"/>
      <c r="K211" s="182"/>
      <c r="L211" s="182"/>
      <c r="M211" s="182"/>
      <c r="N211" s="182"/>
      <c r="O211" s="182"/>
      <c r="P211" s="182"/>
      <c r="Q211" s="182"/>
      <c r="R211" s="182"/>
      <c r="S211" s="182"/>
      <c r="T211" s="182"/>
      <c r="U211" s="182"/>
      <c r="V211" s="182"/>
      <c r="W211" s="182"/>
      <c r="X211" s="182"/>
      <c r="Y211" s="182"/>
    </row>
    <row r="212" spans="1:25" ht="15.75" hidden="1" customHeight="1" x14ac:dyDescent="0.2">
      <c r="A212" s="182"/>
      <c r="B212" s="175"/>
      <c r="C212" s="176"/>
      <c r="D212" s="176"/>
      <c r="E212" s="176"/>
      <c r="F212" s="123"/>
      <c r="G212" s="123"/>
      <c r="H212" s="123"/>
      <c r="I212" s="123"/>
      <c r="J212" s="174"/>
      <c r="K212" s="182"/>
      <c r="L212" s="182"/>
      <c r="M212" s="182"/>
      <c r="N212" s="182"/>
      <c r="O212" s="182"/>
      <c r="P212" s="182"/>
      <c r="Q212" s="182"/>
      <c r="R212" s="182"/>
      <c r="S212" s="182"/>
      <c r="T212" s="182"/>
      <c r="U212" s="182"/>
      <c r="V212" s="182"/>
      <c r="W212" s="182"/>
      <c r="X212" s="182"/>
      <c r="Y212" s="182"/>
    </row>
    <row r="213" spans="1:25" ht="15.75" hidden="1" customHeight="1" x14ac:dyDescent="0.2">
      <c r="A213" s="182"/>
      <c r="B213" s="175"/>
      <c r="C213" s="176"/>
      <c r="D213" s="176"/>
      <c r="E213" s="176"/>
      <c r="F213" s="123"/>
      <c r="G213" s="123"/>
      <c r="H213" s="123"/>
      <c r="I213" s="123"/>
      <c r="J213" s="174"/>
      <c r="K213" s="182"/>
      <c r="L213" s="182"/>
      <c r="M213" s="182"/>
      <c r="N213" s="182"/>
      <c r="O213" s="182"/>
      <c r="P213" s="182"/>
      <c r="Q213" s="182"/>
      <c r="R213" s="182"/>
      <c r="S213" s="182"/>
      <c r="T213" s="182"/>
      <c r="U213" s="182"/>
      <c r="V213" s="182"/>
      <c r="W213" s="182"/>
      <c r="X213" s="182"/>
      <c r="Y213" s="182"/>
    </row>
    <row r="214" spans="1:25" ht="15.75" hidden="1" customHeight="1" x14ac:dyDescent="0.2">
      <c r="A214" s="182"/>
      <c r="B214" s="175"/>
      <c r="C214" s="176"/>
      <c r="D214" s="176"/>
      <c r="E214" s="176"/>
      <c r="F214" s="123"/>
      <c r="G214" s="123"/>
      <c r="H214" s="123"/>
      <c r="I214" s="123"/>
      <c r="J214" s="174"/>
      <c r="K214" s="182"/>
      <c r="L214" s="182"/>
      <c r="M214" s="182"/>
      <c r="N214" s="182"/>
      <c r="O214" s="182"/>
      <c r="P214" s="182"/>
      <c r="Q214" s="182"/>
      <c r="R214" s="182"/>
      <c r="S214" s="182"/>
      <c r="T214" s="182"/>
      <c r="U214" s="182"/>
      <c r="V214" s="182"/>
      <c r="W214" s="182"/>
      <c r="X214" s="182"/>
      <c r="Y214" s="182"/>
    </row>
    <row r="215" spans="1:25" ht="15.75" hidden="1" customHeight="1" x14ac:dyDescent="0.2">
      <c r="A215" s="182"/>
      <c r="B215" s="175"/>
      <c r="C215" s="176"/>
      <c r="D215" s="176"/>
      <c r="E215" s="176"/>
      <c r="F215" s="123"/>
      <c r="G215" s="123"/>
      <c r="H215" s="123"/>
      <c r="I215" s="123"/>
      <c r="J215" s="174"/>
      <c r="K215" s="182"/>
      <c r="L215" s="182"/>
      <c r="M215" s="182"/>
      <c r="N215" s="182"/>
      <c r="O215" s="182"/>
      <c r="P215" s="182"/>
      <c r="Q215" s="182"/>
      <c r="R215" s="182"/>
      <c r="S215" s="182"/>
      <c r="T215" s="182"/>
      <c r="U215" s="182"/>
      <c r="V215" s="182"/>
      <c r="W215" s="182"/>
      <c r="X215" s="182"/>
      <c r="Y215" s="182"/>
    </row>
    <row r="216" spans="1:25" ht="15.75" hidden="1" customHeight="1" x14ac:dyDescent="0.2">
      <c r="A216" s="182"/>
      <c r="B216" s="175"/>
      <c r="C216" s="176"/>
      <c r="D216" s="176"/>
      <c r="E216" s="176"/>
      <c r="F216" s="123"/>
      <c r="G216" s="123"/>
      <c r="H216" s="123"/>
      <c r="I216" s="123"/>
      <c r="J216" s="174"/>
      <c r="K216" s="182"/>
      <c r="L216" s="182"/>
      <c r="M216" s="182"/>
      <c r="N216" s="182"/>
      <c r="O216" s="182"/>
      <c r="P216" s="182"/>
      <c r="Q216" s="182"/>
      <c r="R216" s="182"/>
      <c r="S216" s="182"/>
      <c r="T216" s="182"/>
      <c r="U216" s="182"/>
      <c r="V216" s="182"/>
      <c r="W216" s="182"/>
      <c r="X216" s="182"/>
      <c r="Y216" s="182"/>
    </row>
    <row r="217" spans="1:25" ht="15.75" hidden="1" customHeight="1" x14ac:dyDescent="0.2">
      <c r="A217" s="182"/>
      <c r="B217" s="175"/>
      <c r="C217" s="176"/>
      <c r="D217" s="176"/>
      <c r="E217" s="176"/>
      <c r="F217" s="123"/>
      <c r="G217" s="123"/>
      <c r="H217" s="123"/>
      <c r="I217" s="123"/>
      <c r="J217" s="174"/>
      <c r="K217" s="182"/>
      <c r="L217" s="182"/>
      <c r="M217" s="182"/>
      <c r="N217" s="182"/>
      <c r="O217" s="182"/>
      <c r="P217" s="182"/>
      <c r="Q217" s="182"/>
      <c r="R217" s="182"/>
      <c r="S217" s="182"/>
      <c r="T217" s="182"/>
      <c r="U217" s="182"/>
      <c r="V217" s="182"/>
      <c r="W217" s="182"/>
      <c r="X217" s="182"/>
      <c r="Y217" s="182"/>
    </row>
    <row r="218" spans="1:25" ht="15.75" hidden="1" customHeight="1" x14ac:dyDescent="0.2">
      <c r="A218" s="182"/>
      <c r="B218" s="175"/>
      <c r="C218" s="176"/>
      <c r="D218" s="176"/>
      <c r="E218" s="176"/>
      <c r="F218" s="123"/>
      <c r="G218" s="123"/>
      <c r="H218" s="123"/>
      <c r="I218" s="123"/>
      <c r="J218" s="174"/>
      <c r="K218" s="182"/>
      <c r="L218" s="182"/>
      <c r="M218" s="182"/>
      <c r="N218" s="182"/>
      <c r="O218" s="182"/>
      <c r="P218" s="182"/>
      <c r="Q218" s="182"/>
      <c r="R218" s="182"/>
      <c r="S218" s="182"/>
      <c r="T218" s="182"/>
      <c r="U218" s="182"/>
      <c r="V218" s="182"/>
      <c r="W218" s="182"/>
      <c r="X218" s="182"/>
      <c r="Y218" s="182"/>
    </row>
    <row r="219" spans="1:25" ht="15.75" hidden="1" customHeight="1" x14ac:dyDescent="0.2">
      <c r="A219" s="182"/>
      <c r="B219" s="175"/>
      <c r="C219" s="176"/>
      <c r="D219" s="176"/>
      <c r="E219" s="176"/>
      <c r="F219" s="123"/>
      <c r="G219" s="123"/>
      <c r="H219" s="123"/>
      <c r="I219" s="123"/>
      <c r="J219" s="174"/>
      <c r="K219" s="182"/>
      <c r="L219" s="182"/>
      <c r="M219" s="182"/>
      <c r="N219" s="182"/>
      <c r="O219" s="182"/>
      <c r="P219" s="182"/>
      <c r="Q219" s="182"/>
      <c r="R219" s="182"/>
      <c r="S219" s="182"/>
      <c r="T219" s="182"/>
      <c r="U219" s="182"/>
      <c r="V219" s="182"/>
      <c r="W219" s="182"/>
      <c r="X219" s="182"/>
      <c r="Y219" s="182"/>
    </row>
    <row r="220" spans="1:25" ht="15.75" hidden="1" customHeight="1" x14ac:dyDescent="0.2">
      <c r="A220" s="182"/>
      <c r="B220" s="175"/>
      <c r="C220" s="176"/>
      <c r="D220" s="176"/>
      <c r="E220" s="176"/>
      <c r="F220" s="123"/>
      <c r="G220" s="123"/>
      <c r="H220" s="123"/>
      <c r="I220" s="123"/>
      <c r="J220" s="174"/>
      <c r="K220" s="182"/>
      <c r="L220" s="182"/>
      <c r="M220" s="182"/>
      <c r="N220" s="182"/>
      <c r="O220" s="182"/>
      <c r="P220" s="182"/>
      <c r="Q220" s="182"/>
      <c r="R220" s="182"/>
      <c r="S220" s="182"/>
      <c r="T220" s="182"/>
      <c r="U220" s="182"/>
      <c r="V220" s="182"/>
      <c r="W220" s="182"/>
      <c r="X220" s="182"/>
      <c r="Y220" s="182"/>
    </row>
    <row r="221" spans="1:25" ht="15.75" hidden="1" customHeight="1" x14ac:dyDescent="0.2">
      <c r="A221" s="182"/>
      <c r="B221" s="175"/>
      <c r="C221" s="176"/>
      <c r="D221" s="176"/>
      <c r="E221" s="176"/>
      <c r="F221" s="123"/>
      <c r="G221" s="123"/>
      <c r="H221" s="123"/>
      <c r="I221" s="123"/>
      <c r="J221" s="174"/>
      <c r="K221" s="182"/>
      <c r="L221" s="182"/>
      <c r="M221" s="182"/>
      <c r="N221" s="182"/>
      <c r="O221" s="182"/>
      <c r="P221" s="182"/>
      <c r="Q221" s="182"/>
      <c r="R221" s="182"/>
      <c r="S221" s="182"/>
      <c r="T221" s="182"/>
      <c r="U221" s="182"/>
      <c r="V221" s="182"/>
      <c r="W221" s="182"/>
      <c r="X221" s="182"/>
      <c r="Y221" s="182"/>
    </row>
    <row r="222" spans="1:25" ht="15.75" hidden="1" customHeight="1" x14ac:dyDescent="0.2">
      <c r="A222" s="182"/>
      <c r="B222" s="175"/>
      <c r="C222" s="176"/>
      <c r="D222" s="176"/>
      <c r="E222" s="176"/>
      <c r="F222" s="123"/>
      <c r="G222" s="123"/>
      <c r="H222" s="123"/>
      <c r="I222" s="123"/>
      <c r="J222" s="174"/>
      <c r="K222" s="182"/>
      <c r="L222" s="182"/>
      <c r="M222" s="182"/>
      <c r="N222" s="182"/>
      <c r="O222" s="182"/>
      <c r="P222" s="182"/>
      <c r="Q222" s="182"/>
      <c r="R222" s="182"/>
      <c r="S222" s="182"/>
      <c r="T222" s="182"/>
      <c r="U222" s="182"/>
      <c r="V222" s="182"/>
      <c r="W222" s="182"/>
      <c r="X222" s="182"/>
      <c r="Y222" s="182"/>
    </row>
    <row r="223" spans="1:25" ht="15.75" hidden="1" customHeight="1" x14ac:dyDescent="0.2">
      <c r="A223" s="182"/>
      <c r="B223" s="175"/>
      <c r="C223" s="176"/>
      <c r="D223" s="176"/>
      <c r="E223" s="176"/>
      <c r="F223" s="123"/>
      <c r="G223" s="123"/>
      <c r="H223" s="123"/>
      <c r="I223" s="123"/>
      <c r="J223" s="174"/>
      <c r="K223" s="182"/>
      <c r="L223" s="182"/>
      <c r="M223" s="182"/>
      <c r="N223" s="182"/>
      <c r="O223" s="182"/>
      <c r="P223" s="182"/>
      <c r="Q223" s="182"/>
      <c r="R223" s="182"/>
      <c r="S223" s="182"/>
      <c r="T223" s="182"/>
      <c r="U223" s="182"/>
      <c r="V223" s="182"/>
      <c r="W223" s="182"/>
      <c r="X223" s="182"/>
      <c r="Y223" s="182"/>
    </row>
    <row r="224" spans="1:25" ht="15.75" hidden="1" customHeight="1" x14ac:dyDescent="0.2">
      <c r="A224" s="182"/>
      <c r="B224" s="175"/>
      <c r="C224" s="176"/>
      <c r="D224" s="176"/>
      <c r="E224" s="176"/>
      <c r="F224" s="123"/>
      <c r="G224" s="123"/>
      <c r="H224" s="123"/>
      <c r="I224" s="123"/>
      <c r="J224" s="174"/>
      <c r="K224" s="182"/>
      <c r="L224" s="182"/>
      <c r="M224" s="182"/>
      <c r="N224" s="182"/>
      <c r="O224" s="182"/>
      <c r="P224" s="182"/>
      <c r="Q224" s="182"/>
      <c r="R224" s="182"/>
      <c r="S224" s="182"/>
      <c r="T224" s="182"/>
      <c r="U224" s="182"/>
      <c r="V224" s="182"/>
      <c r="W224" s="182"/>
      <c r="X224" s="182"/>
      <c r="Y224" s="182"/>
    </row>
    <row r="225" spans="1:25" ht="15.75" hidden="1" customHeight="1" x14ac:dyDescent="0.2">
      <c r="A225" s="182"/>
      <c r="B225" s="175"/>
      <c r="C225" s="176"/>
      <c r="D225" s="176"/>
      <c r="E225" s="176"/>
      <c r="F225" s="123"/>
      <c r="G225" s="123"/>
      <c r="H225" s="123"/>
      <c r="I225" s="123"/>
      <c r="J225" s="174"/>
      <c r="K225" s="182"/>
      <c r="L225" s="182"/>
      <c r="M225" s="182"/>
      <c r="N225" s="182"/>
      <c r="O225" s="182"/>
      <c r="P225" s="182"/>
      <c r="Q225" s="182"/>
      <c r="R225" s="182"/>
      <c r="S225" s="182"/>
      <c r="T225" s="182"/>
      <c r="U225" s="182"/>
      <c r="V225" s="182"/>
      <c r="W225" s="182"/>
      <c r="X225" s="182"/>
      <c r="Y225" s="182"/>
    </row>
    <row r="226" spans="1:25" ht="15.75" hidden="1" customHeight="1" x14ac:dyDescent="0.2">
      <c r="A226" s="182"/>
      <c r="B226" s="175"/>
      <c r="C226" s="176"/>
      <c r="D226" s="176"/>
      <c r="E226" s="176"/>
      <c r="F226" s="123"/>
      <c r="G226" s="123"/>
      <c r="H226" s="123"/>
      <c r="I226" s="123"/>
      <c r="J226" s="174"/>
      <c r="K226" s="182"/>
      <c r="L226" s="182"/>
      <c r="M226" s="182"/>
      <c r="N226" s="182"/>
      <c r="O226" s="182"/>
      <c r="P226" s="182"/>
      <c r="Q226" s="182"/>
      <c r="R226" s="182"/>
      <c r="S226" s="182"/>
      <c r="T226" s="182"/>
      <c r="U226" s="182"/>
      <c r="V226" s="182"/>
      <c r="W226" s="182"/>
      <c r="X226" s="182"/>
      <c r="Y226" s="182"/>
    </row>
    <row r="227" spans="1:25" ht="15.75" hidden="1" customHeight="1" x14ac:dyDescent="0.2">
      <c r="A227" s="182"/>
      <c r="B227" s="175"/>
      <c r="C227" s="176"/>
      <c r="D227" s="176"/>
      <c r="E227" s="176"/>
      <c r="F227" s="123"/>
      <c r="G227" s="123"/>
      <c r="H227" s="123"/>
      <c r="I227" s="123"/>
      <c r="J227" s="174"/>
      <c r="K227" s="182"/>
      <c r="L227" s="182"/>
      <c r="M227" s="182"/>
      <c r="N227" s="182"/>
      <c r="O227" s="182"/>
      <c r="P227" s="182"/>
      <c r="Q227" s="182"/>
      <c r="R227" s="182"/>
      <c r="S227" s="182"/>
      <c r="T227" s="182"/>
      <c r="U227" s="182"/>
      <c r="V227" s="182"/>
      <c r="W227" s="182"/>
      <c r="X227" s="182"/>
      <c r="Y227" s="182"/>
    </row>
    <row r="228" spans="1:25" ht="15.75" hidden="1" customHeight="1" x14ac:dyDescent="0.2">
      <c r="A228" s="182"/>
      <c r="B228" s="175"/>
      <c r="C228" s="176"/>
      <c r="D228" s="176"/>
      <c r="E228" s="176"/>
      <c r="F228" s="123"/>
      <c r="G228" s="123"/>
      <c r="H228" s="123"/>
      <c r="I228" s="123"/>
      <c r="J228" s="174"/>
      <c r="K228" s="182"/>
      <c r="L228" s="182"/>
      <c r="M228" s="182"/>
      <c r="N228" s="182"/>
      <c r="O228" s="182"/>
      <c r="P228" s="182"/>
      <c r="Q228" s="182"/>
      <c r="R228" s="182"/>
      <c r="S228" s="182"/>
      <c r="T228" s="182"/>
      <c r="U228" s="182"/>
      <c r="V228" s="182"/>
      <c r="W228" s="182"/>
      <c r="X228" s="182"/>
      <c r="Y228" s="182"/>
    </row>
    <row r="229" spans="1:25" ht="15.75" hidden="1" customHeight="1" x14ac:dyDescent="0.2">
      <c r="A229" s="182"/>
      <c r="B229" s="175"/>
      <c r="C229" s="176"/>
      <c r="D229" s="176"/>
      <c r="E229" s="176"/>
      <c r="F229" s="123"/>
      <c r="G229" s="123"/>
      <c r="H229" s="123"/>
      <c r="I229" s="123"/>
      <c r="J229" s="174"/>
      <c r="K229" s="182"/>
      <c r="L229" s="182"/>
      <c r="M229" s="182"/>
      <c r="N229" s="182"/>
      <c r="O229" s="182"/>
      <c r="P229" s="182"/>
      <c r="Q229" s="182"/>
      <c r="R229" s="182"/>
      <c r="S229" s="182"/>
      <c r="T229" s="182"/>
      <c r="U229" s="182"/>
      <c r="V229" s="182"/>
      <c r="W229" s="182"/>
      <c r="X229" s="182"/>
      <c r="Y229" s="182"/>
    </row>
    <row r="230" spans="1:25" ht="15.75" hidden="1" customHeight="1" x14ac:dyDescent="0.2">
      <c r="A230" s="182"/>
      <c r="B230" s="175"/>
      <c r="C230" s="176"/>
      <c r="D230" s="176"/>
      <c r="E230" s="176"/>
      <c r="F230" s="123"/>
      <c r="G230" s="123"/>
      <c r="H230" s="123"/>
      <c r="I230" s="123"/>
      <c r="J230" s="174"/>
      <c r="K230" s="182"/>
      <c r="L230" s="182"/>
      <c r="M230" s="182"/>
      <c r="N230" s="182"/>
      <c r="O230" s="182"/>
      <c r="P230" s="182"/>
      <c r="Q230" s="182"/>
      <c r="R230" s="182"/>
      <c r="S230" s="182"/>
      <c r="T230" s="182"/>
      <c r="U230" s="182"/>
      <c r="V230" s="182"/>
      <c r="W230" s="182"/>
      <c r="X230" s="182"/>
      <c r="Y230" s="182"/>
    </row>
    <row r="231" spans="1:25" ht="15.75" hidden="1" customHeight="1" x14ac:dyDescent="0.2">
      <c r="A231" s="182"/>
      <c r="B231" s="175"/>
      <c r="C231" s="176"/>
      <c r="D231" s="176"/>
      <c r="E231" s="176"/>
      <c r="F231" s="123"/>
      <c r="G231" s="123"/>
      <c r="H231" s="123"/>
      <c r="I231" s="123"/>
      <c r="J231" s="174"/>
      <c r="K231" s="182"/>
      <c r="L231" s="182"/>
      <c r="M231" s="182"/>
      <c r="N231" s="182"/>
      <c r="O231" s="182"/>
      <c r="P231" s="182"/>
      <c r="Q231" s="182"/>
      <c r="R231" s="182"/>
      <c r="S231" s="182"/>
      <c r="T231" s="182"/>
      <c r="U231" s="182"/>
      <c r="V231" s="182"/>
      <c r="W231" s="182"/>
      <c r="X231" s="182"/>
      <c r="Y231" s="182"/>
    </row>
    <row r="232" spans="1:25" ht="15.75" hidden="1" customHeight="1" x14ac:dyDescent="0.2">
      <c r="A232" s="182"/>
      <c r="B232" s="175"/>
      <c r="C232" s="176"/>
      <c r="D232" s="176"/>
      <c r="E232" s="176"/>
      <c r="F232" s="123"/>
      <c r="G232" s="123"/>
      <c r="H232" s="123"/>
      <c r="I232" s="123"/>
      <c r="J232" s="174"/>
      <c r="K232" s="182"/>
      <c r="L232" s="182"/>
      <c r="M232" s="182"/>
      <c r="N232" s="182"/>
      <c r="O232" s="182"/>
      <c r="P232" s="182"/>
      <c r="Q232" s="182"/>
      <c r="R232" s="182"/>
      <c r="S232" s="182"/>
      <c r="T232" s="182"/>
      <c r="U232" s="182"/>
      <c r="V232" s="182"/>
      <c r="W232" s="182"/>
      <c r="X232" s="182"/>
      <c r="Y232" s="182"/>
    </row>
    <row r="233" spans="1:25" ht="15.75" hidden="1" customHeight="1" x14ac:dyDescent="0.2">
      <c r="A233" s="182"/>
      <c r="B233" s="175"/>
      <c r="C233" s="176"/>
      <c r="D233" s="176"/>
      <c r="E233" s="176"/>
      <c r="F233" s="123"/>
      <c r="G233" s="123"/>
      <c r="H233" s="123"/>
      <c r="I233" s="123"/>
      <c r="J233" s="174"/>
      <c r="K233" s="182"/>
      <c r="L233" s="182"/>
      <c r="M233" s="182"/>
      <c r="N233" s="182"/>
      <c r="O233" s="182"/>
      <c r="P233" s="182"/>
      <c r="Q233" s="182"/>
      <c r="R233" s="182"/>
      <c r="S233" s="182"/>
      <c r="T233" s="182"/>
      <c r="U233" s="182"/>
      <c r="V233" s="182"/>
      <c r="W233" s="182"/>
      <c r="X233" s="182"/>
      <c r="Y233" s="182"/>
    </row>
    <row r="234" spans="1:25" ht="15.75" hidden="1" customHeight="1" x14ac:dyDescent="0.2">
      <c r="A234" s="182"/>
      <c r="B234" s="175"/>
      <c r="C234" s="176"/>
      <c r="D234" s="176"/>
      <c r="E234" s="176"/>
      <c r="F234" s="123"/>
      <c r="G234" s="123"/>
      <c r="H234" s="123"/>
      <c r="I234" s="123"/>
      <c r="J234" s="174"/>
      <c r="K234" s="182"/>
      <c r="L234" s="182"/>
      <c r="M234" s="182"/>
      <c r="N234" s="182"/>
      <c r="O234" s="182"/>
      <c r="P234" s="182"/>
      <c r="Q234" s="182"/>
      <c r="R234" s="182"/>
      <c r="S234" s="182"/>
      <c r="T234" s="182"/>
      <c r="U234" s="182"/>
      <c r="V234" s="182"/>
      <c r="W234" s="182"/>
      <c r="X234" s="182"/>
      <c r="Y234" s="182"/>
    </row>
    <row r="235" spans="1:25" ht="15.75" hidden="1" customHeight="1" x14ac:dyDescent="0.2">
      <c r="A235" s="182"/>
      <c r="B235" s="175"/>
      <c r="C235" s="176"/>
      <c r="D235" s="176"/>
      <c r="E235" s="176"/>
      <c r="F235" s="123"/>
      <c r="G235" s="123"/>
      <c r="H235" s="123"/>
      <c r="I235" s="123"/>
      <c r="J235" s="174"/>
      <c r="K235" s="182"/>
      <c r="L235" s="182"/>
      <c r="M235" s="182"/>
      <c r="N235" s="182"/>
      <c r="O235" s="182"/>
      <c r="P235" s="182"/>
      <c r="Q235" s="182"/>
      <c r="R235" s="182"/>
      <c r="S235" s="182"/>
      <c r="T235" s="182"/>
      <c r="U235" s="182"/>
      <c r="V235" s="182"/>
      <c r="W235" s="182"/>
      <c r="X235" s="182"/>
      <c r="Y235" s="182"/>
    </row>
    <row r="236" spans="1:25" ht="15.75" hidden="1" customHeight="1" x14ac:dyDescent="0.2">
      <c r="A236" s="182"/>
      <c r="B236" s="175"/>
      <c r="C236" s="176"/>
      <c r="D236" s="176"/>
      <c r="E236" s="176"/>
      <c r="F236" s="123"/>
      <c r="G236" s="123"/>
      <c r="H236" s="123"/>
      <c r="I236" s="123"/>
      <c r="J236" s="174"/>
      <c r="K236" s="182"/>
      <c r="L236" s="182"/>
      <c r="M236" s="182"/>
      <c r="N236" s="182"/>
      <c r="O236" s="182"/>
      <c r="P236" s="182"/>
      <c r="Q236" s="182"/>
      <c r="R236" s="182"/>
      <c r="S236" s="182"/>
      <c r="T236" s="182"/>
      <c r="U236" s="182"/>
      <c r="V236" s="182"/>
      <c r="W236" s="182"/>
      <c r="X236" s="182"/>
      <c r="Y236" s="182"/>
    </row>
    <row r="237" spans="1:25" ht="15.75" hidden="1" customHeight="1" x14ac:dyDescent="0.2">
      <c r="A237" s="182"/>
      <c r="B237" s="175"/>
      <c r="C237" s="176"/>
      <c r="D237" s="176"/>
      <c r="E237" s="176"/>
      <c r="F237" s="123"/>
      <c r="G237" s="123"/>
      <c r="H237" s="123"/>
      <c r="I237" s="123"/>
      <c r="J237" s="174"/>
      <c r="K237" s="182"/>
      <c r="L237" s="182"/>
      <c r="M237" s="182"/>
      <c r="N237" s="182"/>
      <c r="O237" s="182"/>
      <c r="P237" s="182"/>
      <c r="Q237" s="182"/>
      <c r="R237" s="182"/>
      <c r="S237" s="182"/>
      <c r="T237" s="182"/>
      <c r="U237" s="182"/>
      <c r="V237" s="182"/>
      <c r="W237" s="182"/>
      <c r="X237" s="182"/>
      <c r="Y237" s="182"/>
    </row>
    <row r="238" spans="1:25" ht="15.75" hidden="1" customHeight="1" x14ac:dyDescent="0.2">
      <c r="A238" s="182"/>
      <c r="B238" s="175"/>
      <c r="C238" s="176"/>
      <c r="D238" s="176"/>
      <c r="E238" s="176"/>
      <c r="F238" s="123"/>
      <c r="G238" s="123"/>
      <c r="H238" s="123"/>
      <c r="I238" s="123"/>
      <c r="J238" s="174"/>
      <c r="K238" s="182"/>
      <c r="L238" s="182"/>
      <c r="M238" s="182"/>
      <c r="N238" s="182"/>
      <c r="O238" s="182"/>
      <c r="P238" s="182"/>
      <c r="Q238" s="182"/>
      <c r="R238" s="182"/>
      <c r="S238" s="182"/>
      <c r="T238" s="182"/>
      <c r="U238" s="182"/>
      <c r="V238" s="182"/>
      <c r="W238" s="182"/>
      <c r="X238" s="182"/>
      <c r="Y238" s="182"/>
    </row>
    <row r="239" spans="1:25" ht="15.75" hidden="1" customHeight="1" x14ac:dyDescent="0.2">
      <c r="A239" s="182"/>
      <c r="B239" s="175"/>
      <c r="C239" s="176"/>
      <c r="D239" s="176"/>
      <c r="E239" s="176"/>
      <c r="F239" s="123"/>
      <c r="G239" s="123"/>
      <c r="H239" s="123"/>
      <c r="I239" s="123"/>
      <c r="J239" s="174"/>
      <c r="K239" s="182"/>
      <c r="L239" s="182"/>
      <c r="M239" s="182"/>
      <c r="N239" s="182"/>
      <c r="O239" s="182"/>
      <c r="P239" s="182"/>
      <c r="Q239" s="182"/>
      <c r="R239" s="182"/>
      <c r="S239" s="182"/>
      <c r="T239" s="182"/>
      <c r="U239" s="182"/>
      <c r="V239" s="182"/>
      <c r="W239" s="182"/>
      <c r="X239" s="182"/>
      <c r="Y239" s="182"/>
    </row>
    <row r="240" spans="1:25" ht="15.75" hidden="1" customHeight="1" x14ac:dyDescent="0.2">
      <c r="A240" s="182"/>
      <c r="B240" s="175"/>
      <c r="C240" s="176"/>
      <c r="D240" s="176"/>
      <c r="E240" s="176"/>
      <c r="F240" s="123"/>
      <c r="G240" s="123"/>
      <c r="H240" s="123"/>
      <c r="I240" s="123"/>
      <c r="J240" s="174"/>
      <c r="K240" s="182"/>
      <c r="L240" s="182"/>
      <c r="M240" s="182"/>
      <c r="N240" s="182"/>
      <c r="O240" s="182"/>
      <c r="P240" s="182"/>
      <c r="Q240" s="182"/>
      <c r="R240" s="182"/>
      <c r="S240" s="182"/>
      <c r="T240" s="182"/>
      <c r="U240" s="182"/>
      <c r="V240" s="182"/>
      <c r="W240" s="182"/>
      <c r="X240" s="182"/>
      <c r="Y240" s="182"/>
    </row>
    <row r="241" spans="1:25" ht="15.75" hidden="1" customHeight="1" x14ac:dyDescent="0.2">
      <c r="A241" s="182"/>
      <c r="B241" s="175"/>
      <c r="C241" s="176"/>
      <c r="D241" s="176"/>
      <c r="E241" s="176"/>
      <c r="F241" s="123"/>
      <c r="G241" s="123"/>
      <c r="H241" s="123"/>
      <c r="I241" s="123"/>
      <c r="J241" s="174"/>
      <c r="K241" s="182"/>
      <c r="L241" s="182"/>
      <c r="M241" s="182"/>
      <c r="N241" s="182"/>
      <c r="O241" s="182"/>
      <c r="P241" s="182"/>
      <c r="Q241" s="182"/>
      <c r="R241" s="182"/>
      <c r="S241" s="182"/>
      <c r="T241" s="182"/>
      <c r="U241" s="182"/>
      <c r="V241" s="182"/>
      <c r="W241" s="182"/>
      <c r="X241" s="182"/>
      <c r="Y241" s="182"/>
    </row>
    <row r="242" spans="1:25" ht="15.75" hidden="1" customHeight="1" x14ac:dyDescent="0.2">
      <c r="A242" s="182"/>
      <c r="B242" s="175"/>
      <c r="C242" s="176"/>
      <c r="D242" s="176"/>
      <c r="E242" s="176"/>
      <c r="F242" s="123"/>
      <c r="G242" s="123"/>
      <c r="H242" s="123"/>
      <c r="I242" s="123"/>
      <c r="J242" s="174"/>
      <c r="K242" s="182"/>
      <c r="L242" s="182"/>
      <c r="M242" s="182"/>
      <c r="N242" s="182"/>
      <c r="O242" s="182"/>
      <c r="P242" s="182"/>
      <c r="Q242" s="182"/>
      <c r="R242" s="182"/>
      <c r="S242" s="182"/>
      <c r="T242" s="182"/>
      <c r="U242" s="182"/>
      <c r="V242" s="182"/>
      <c r="W242" s="182"/>
      <c r="X242" s="182"/>
      <c r="Y242" s="182"/>
    </row>
    <row r="243" spans="1:25" ht="15.75" hidden="1" customHeight="1" x14ac:dyDescent="0.2">
      <c r="A243" s="182"/>
      <c r="B243" s="175"/>
      <c r="C243" s="176"/>
      <c r="D243" s="176"/>
      <c r="E243" s="176"/>
      <c r="F243" s="123"/>
      <c r="G243" s="123"/>
      <c r="H243" s="123"/>
      <c r="I243" s="123"/>
      <c r="J243" s="174"/>
      <c r="K243" s="182"/>
      <c r="L243" s="182"/>
      <c r="M243" s="182"/>
      <c r="N243" s="182"/>
      <c r="O243" s="182"/>
      <c r="P243" s="182"/>
      <c r="Q243" s="182"/>
      <c r="R243" s="182"/>
      <c r="S243" s="182"/>
      <c r="T243" s="182"/>
      <c r="U243" s="182"/>
      <c r="V243" s="182"/>
      <c r="W243" s="182"/>
      <c r="X243" s="182"/>
      <c r="Y243" s="182"/>
    </row>
    <row r="244" spans="1:25" ht="15.75" hidden="1" customHeight="1" x14ac:dyDescent="0.2">
      <c r="A244" s="182"/>
      <c r="B244" s="175"/>
      <c r="C244" s="176"/>
      <c r="D244" s="176"/>
      <c r="E244" s="176"/>
      <c r="F244" s="123"/>
      <c r="G244" s="123"/>
      <c r="H244" s="123"/>
      <c r="I244" s="123"/>
      <c r="J244" s="174"/>
      <c r="K244" s="182"/>
      <c r="L244" s="182"/>
      <c r="M244" s="182"/>
      <c r="N244" s="182"/>
      <c r="O244" s="182"/>
      <c r="P244" s="182"/>
      <c r="Q244" s="182"/>
      <c r="R244" s="182"/>
      <c r="S244" s="182"/>
      <c r="T244" s="182"/>
      <c r="U244" s="182"/>
      <c r="V244" s="182"/>
      <c r="W244" s="182"/>
      <c r="X244" s="182"/>
      <c r="Y244" s="182"/>
    </row>
    <row r="245" spans="1:25" ht="15.75" hidden="1" customHeight="1" x14ac:dyDescent="0.2">
      <c r="A245" s="182"/>
      <c r="B245" s="175"/>
      <c r="C245" s="176"/>
      <c r="D245" s="176"/>
      <c r="E245" s="176"/>
      <c r="F245" s="123"/>
      <c r="G245" s="123"/>
      <c r="H245" s="123"/>
      <c r="I245" s="123"/>
      <c r="J245" s="174"/>
      <c r="K245" s="182"/>
      <c r="L245" s="182"/>
      <c r="M245" s="182"/>
      <c r="N245" s="182"/>
      <c r="O245" s="182"/>
      <c r="P245" s="182"/>
      <c r="Q245" s="182"/>
      <c r="R245" s="182"/>
      <c r="S245" s="182"/>
      <c r="T245" s="182"/>
      <c r="U245" s="182"/>
      <c r="V245" s="182"/>
      <c r="W245" s="182"/>
      <c r="X245" s="182"/>
      <c r="Y245" s="182"/>
    </row>
    <row r="246" spans="1:25" ht="15.75" hidden="1" customHeight="1" x14ac:dyDescent="0.2">
      <c r="A246" s="182"/>
      <c r="B246" s="175"/>
      <c r="C246" s="176"/>
      <c r="D246" s="176"/>
      <c r="E246" s="176"/>
      <c r="F246" s="123"/>
      <c r="G246" s="123"/>
      <c r="H246" s="123"/>
      <c r="I246" s="123"/>
      <c r="J246" s="174"/>
      <c r="K246" s="182"/>
      <c r="L246" s="182"/>
      <c r="M246" s="182"/>
      <c r="N246" s="182"/>
      <c r="O246" s="182"/>
      <c r="P246" s="182"/>
      <c r="Q246" s="182"/>
      <c r="R246" s="182"/>
      <c r="S246" s="182"/>
      <c r="T246" s="182"/>
      <c r="U246" s="182"/>
      <c r="V246" s="182"/>
      <c r="W246" s="182"/>
      <c r="X246" s="182"/>
      <c r="Y246" s="182"/>
    </row>
    <row r="247" spans="1:25" ht="15.75" hidden="1" customHeight="1" x14ac:dyDescent="0.2">
      <c r="A247" s="182"/>
      <c r="B247" s="175"/>
      <c r="C247" s="176"/>
      <c r="D247" s="176"/>
      <c r="E247" s="176"/>
      <c r="F247" s="123"/>
      <c r="G247" s="123"/>
      <c r="H247" s="123"/>
      <c r="I247" s="123"/>
      <c r="J247" s="174"/>
      <c r="K247" s="182"/>
      <c r="L247" s="182"/>
      <c r="M247" s="182"/>
      <c r="N247" s="182"/>
      <c r="O247" s="182"/>
      <c r="P247" s="182"/>
      <c r="Q247" s="182"/>
      <c r="R247" s="182"/>
      <c r="S247" s="182"/>
      <c r="T247" s="182"/>
      <c r="U247" s="182"/>
      <c r="V247" s="182"/>
      <c r="W247" s="182"/>
      <c r="X247" s="182"/>
      <c r="Y247" s="182"/>
    </row>
    <row r="248" spans="1:25" ht="15.75" hidden="1" customHeight="1" x14ac:dyDescent="0.2">
      <c r="A248" s="182"/>
      <c r="B248" s="175"/>
      <c r="C248" s="176"/>
      <c r="D248" s="176"/>
      <c r="E248" s="176"/>
      <c r="F248" s="123"/>
      <c r="G248" s="123"/>
      <c r="H248" s="123"/>
      <c r="I248" s="123"/>
      <c r="J248" s="174"/>
      <c r="K248" s="182"/>
      <c r="L248" s="182"/>
      <c r="M248" s="182"/>
      <c r="N248" s="182"/>
      <c r="O248" s="182"/>
      <c r="P248" s="182"/>
      <c r="Q248" s="182"/>
      <c r="R248" s="182"/>
      <c r="S248" s="182"/>
      <c r="T248" s="182"/>
      <c r="U248" s="182"/>
      <c r="V248" s="182"/>
      <c r="W248" s="182"/>
      <c r="X248" s="182"/>
      <c r="Y248" s="182"/>
    </row>
    <row r="249" spans="1:25" ht="15.75" hidden="1" customHeight="1" x14ac:dyDescent="0.2">
      <c r="A249" s="182"/>
      <c r="B249" s="175"/>
      <c r="C249" s="176"/>
      <c r="D249" s="176"/>
      <c r="E249" s="176"/>
      <c r="F249" s="123"/>
      <c r="G249" s="123"/>
      <c r="H249" s="123"/>
      <c r="I249" s="123"/>
      <c r="J249" s="174"/>
      <c r="K249" s="182"/>
      <c r="L249" s="182"/>
      <c r="M249" s="182"/>
      <c r="N249" s="182"/>
      <c r="O249" s="182"/>
      <c r="P249" s="182"/>
      <c r="Q249" s="182"/>
      <c r="R249" s="182"/>
      <c r="S249" s="182"/>
      <c r="T249" s="182"/>
      <c r="U249" s="182"/>
      <c r="V249" s="182"/>
      <c r="W249" s="182"/>
      <c r="X249" s="182"/>
      <c r="Y249" s="182"/>
    </row>
    <row r="250" spans="1:25" ht="15.75" hidden="1" customHeight="1" x14ac:dyDescent="0.2">
      <c r="A250" s="182"/>
      <c r="B250" s="175"/>
      <c r="C250" s="176"/>
      <c r="D250" s="176"/>
      <c r="E250" s="176"/>
      <c r="F250" s="123"/>
      <c r="G250" s="123"/>
      <c r="H250" s="123"/>
      <c r="I250" s="123"/>
      <c r="J250" s="174"/>
      <c r="K250" s="182"/>
      <c r="L250" s="182"/>
      <c r="M250" s="182"/>
      <c r="N250" s="182"/>
      <c r="O250" s="182"/>
      <c r="P250" s="182"/>
      <c r="Q250" s="182"/>
      <c r="R250" s="182"/>
      <c r="S250" s="182"/>
      <c r="T250" s="182"/>
      <c r="U250" s="182"/>
      <c r="V250" s="182"/>
      <c r="W250" s="182"/>
      <c r="X250" s="182"/>
      <c r="Y250" s="182"/>
    </row>
    <row r="251" spans="1:25" ht="15.75" hidden="1" customHeight="1" x14ac:dyDescent="0.2">
      <c r="A251" s="182"/>
      <c r="B251" s="175"/>
      <c r="C251" s="176"/>
      <c r="D251" s="176"/>
      <c r="E251" s="176"/>
      <c r="F251" s="123"/>
      <c r="G251" s="123"/>
      <c r="H251" s="123"/>
      <c r="I251" s="123"/>
      <c r="J251" s="174"/>
      <c r="K251" s="182"/>
      <c r="L251" s="182"/>
      <c r="M251" s="182"/>
      <c r="N251" s="182"/>
      <c r="O251" s="182"/>
      <c r="P251" s="182"/>
      <c r="Q251" s="182"/>
      <c r="R251" s="182"/>
      <c r="S251" s="182"/>
      <c r="T251" s="182"/>
      <c r="U251" s="182"/>
      <c r="V251" s="182"/>
      <c r="W251" s="182"/>
      <c r="X251" s="182"/>
      <c r="Y251" s="182"/>
    </row>
    <row r="252" spans="1:25" ht="15.75" hidden="1" customHeight="1" x14ac:dyDescent="0.2">
      <c r="A252" s="182"/>
      <c r="B252" s="175"/>
      <c r="C252" s="176"/>
      <c r="D252" s="176"/>
      <c r="E252" s="176"/>
      <c r="F252" s="123"/>
      <c r="G252" s="123"/>
      <c r="H252" s="123"/>
      <c r="I252" s="123"/>
      <c r="J252" s="174"/>
      <c r="K252" s="182"/>
      <c r="L252" s="182"/>
      <c r="M252" s="182"/>
      <c r="N252" s="182"/>
      <c r="O252" s="182"/>
      <c r="P252" s="182"/>
      <c r="Q252" s="182"/>
      <c r="R252" s="182"/>
      <c r="S252" s="182"/>
      <c r="T252" s="182"/>
      <c r="U252" s="182"/>
      <c r="V252" s="182"/>
      <c r="W252" s="182"/>
      <c r="X252" s="182"/>
      <c r="Y252" s="182"/>
    </row>
    <row r="253" spans="1:25" ht="15.75" hidden="1" customHeight="1" x14ac:dyDescent="0.2">
      <c r="A253" s="182"/>
      <c r="B253" s="175"/>
      <c r="C253" s="176"/>
      <c r="D253" s="176"/>
      <c r="E253" s="176"/>
      <c r="F253" s="123"/>
      <c r="G253" s="123"/>
      <c r="H253" s="123"/>
      <c r="I253" s="123"/>
      <c r="J253" s="174"/>
      <c r="K253" s="182"/>
      <c r="L253" s="182"/>
      <c r="M253" s="182"/>
      <c r="N253" s="182"/>
      <c r="O253" s="182"/>
      <c r="P253" s="182"/>
      <c r="Q253" s="182"/>
      <c r="R253" s="182"/>
      <c r="S253" s="182"/>
      <c r="T253" s="182"/>
      <c r="U253" s="182"/>
      <c r="V253" s="182"/>
      <c r="W253" s="182"/>
      <c r="X253" s="182"/>
      <c r="Y253" s="182"/>
    </row>
    <row r="254" spans="1:25" ht="15.75" hidden="1" customHeight="1" x14ac:dyDescent="0.2">
      <c r="A254" s="182"/>
      <c r="B254" s="175"/>
      <c r="C254" s="176"/>
      <c r="D254" s="176"/>
      <c r="E254" s="176"/>
      <c r="F254" s="123"/>
      <c r="G254" s="123"/>
      <c r="H254" s="123"/>
      <c r="I254" s="123"/>
      <c r="J254" s="174"/>
      <c r="K254" s="182"/>
      <c r="L254" s="182"/>
      <c r="M254" s="182"/>
      <c r="N254" s="182"/>
      <c r="O254" s="182"/>
      <c r="P254" s="182"/>
      <c r="Q254" s="182"/>
      <c r="R254" s="182"/>
      <c r="S254" s="182"/>
      <c r="T254" s="182"/>
      <c r="U254" s="182"/>
      <c r="V254" s="182"/>
      <c r="W254" s="182"/>
      <c r="X254" s="182"/>
      <c r="Y254" s="182"/>
    </row>
    <row r="255" spans="1:25" ht="15.75" hidden="1" customHeight="1" x14ac:dyDescent="0.2">
      <c r="A255" s="182"/>
      <c r="B255" s="175"/>
      <c r="C255" s="176"/>
      <c r="D255" s="176"/>
      <c r="E255" s="176"/>
      <c r="F255" s="123"/>
      <c r="G255" s="123"/>
      <c r="H255" s="123"/>
      <c r="I255" s="123"/>
      <c r="J255" s="174"/>
      <c r="K255" s="182"/>
      <c r="L255" s="182"/>
      <c r="M255" s="182"/>
      <c r="N255" s="182"/>
      <c r="O255" s="182"/>
      <c r="P255" s="182"/>
      <c r="Q255" s="182"/>
      <c r="R255" s="182"/>
      <c r="S255" s="182"/>
      <c r="T255" s="182"/>
      <c r="U255" s="182"/>
      <c r="V255" s="182"/>
      <c r="W255" s="182"/>
      <c r="X255" s="182"/>
      <c r="Y255" s="182"/>
    </row>
    <row r="256" spans="1:25" ht="15.75" hidden="1" customHeight="1" x14ac:dyDescent="0.2">
      <c r="A256" s="182"/>
      <c r="B256" s="175"/>
      <c r="C256" s="176"/>
      <c r="D256" s="176"/>
      <c r="E256" s="176"/>
      <c r="F256" s="123"/>
      <c r="G256" s="123"/>
      <c r="H256" s="123"/>
      <c r="I256" s="123"/>
      <c r="J256" s="174"/>
      <c r="K256" s="182"/>
      <c r="L256" s="182"/>
      <c r="M256" s="182"/>
      <c r="N256" s="182"/>
      <c r="O256" s="182"/>
      <c r="P256" s="182"/>
      <c r="Q256" s="182"/>
      <c r="R256" s="182"/>
      <c r="S256" s="182"/>
      <c r="T256" s="182"/>
      <c r="U256" s="182"/>
      <c r="V256" s="182"/>
      <c r="W256" s="182"/>
      <c r="X256" s="182"/>
      <c r="Y256" s="182"/>
    </row>
    <row r="257" spans="1:25" ht="15.75" hidden="1" customHeight="1" x14ac:dyDescent="0.2">
      <c r="A257" s="182"/>
      <c r="B257" s="175"/>
      <c r="C257" s="176"/>
      <c r="D257" s="176"/>
      <c r="E257" s="176"/>
      <c r="F257" s="123"/>
      <c r="G257" s="123"/>
      <c r="H257" s="123"/>
      <c r="I257" s="123"/>
      <c r="J257" s="174"/>
      <c r="K257" s="182"/>
      <c r="L257" s="182"/>
      <c r="M257" s="182"/>
      <c r="N257" s="182"/>
      <c r="O257" s="182"/>
      <c r="P257" s="182"/>
      <c r="Q257" s="182"/>
      <c r="R257" s="182"/>
      <c r="S257" s="182"/>
      <c r="T257" s="182"/>
      <c r="U257" s="182"/>
      <c r="V257" s="182"/>
      <c r="W257" s="182"/>
      <c r="X257" s="182"/>
      <c r="Y257" s="182"/>
    </row>
    <row r="258" spans="1:25" ht="15.75" hidden="1" customHeight="1" x14ac:dyDescent="0.2">
      <c r="A258" s="182"/>
      <c r="B258" s="175"/>
      <c r="C258" s="176"/>
      <c r="D258" s="176"/>
      <c r="E258" s="176"/>
      <c r="F258" s="123"/>
      <c r="G258" s="123"/>
      <c r="H258" s="123"/>
      <c r="I258" s="123"/>
      <c r="J258" s="174"/>
      <c r="K258" s="182"/>
      <c r="L258" s="182"/>
      <c r="M258" s="182"/>
      <c r="N258" s="182"/>
      <c r="O258" s="182"/>
      <c r="P258" s="182"/>
      <c r="Q258" s="182"/>
      <c r="R258" s="182"/>
      <c r="S258" s="182"/>
      <c r="T258" s="182"/>
      <c r="U258" s="182"/>
      <c r="V258" s="182"/>
      <c r="W258" s="182"/>
      <c r="X258" s="182"/>
      <c r="Y258" s="182"/>
    </row>
    <row r="259" spans="1:25" ht="15.75" hidden="1" customHeight="1" x14ac:dyDescent="0.2">
      <c r="A259" s="182"/>
      <c r="B259" s="175"/>
      <c r="C259" s="176"/>
      <c r="D259" s="176"/>
      <c r="E259" s="176"/>
      <c r="F259" s="123"/>
      <c r="G259" s="123"/>
      <c r="H259" s="123"/>
      <c r="I259" s="123"/>
      <c r="J259" s="174"/>
      <c r="K259" s="182"/>
      <c r="L259" s="182"/>
      <c r="M259" s="182"/>
      <c r="N259" s="182"/>
      <c r="O259" s="182"/>
      <c r="P259" s="182"/>
      <c r="Q259" s="182"/>
      <c r="R259" s="182"/>
      <c r="S259" s="182"/>
      <c r="T259" s="182"/>
      <c r="U259" s="182"/>
      <c r="V259" s="182"/>
      <c r="W259" s="182"/>
      <c r="X259" s="182"/>
      <c r="Y259" s="182"/>
    </row>
    <row r="260" spans="1:25" ht="15.75" hidden="1" customHeight="1" x14ac:dyDescent="0.2">
      <c r="A260" s="182"/>
      <c r="B260" s="175"/>
      <c r="C260" s="176"/>
      <c r="D260" s="176"/>
      <c r="E260" s="176"/>
      <c r="F260" s="123"/>
      <c r="G260" s="123"/>
      <c r="H260" s="123"/>
      <c r="I260" s="123"/>
      <c r="J260" s="174"/>
      <c r="K260" s="182"/>
      <c r="L260" s="182"/>
      <c r="M260" s="182"/>
      <c r="N260" s="182"/>
      <c r="O260" s="182"/>
      <c r="P260" s="182"/>
      <c r="Q260" s="182"/>
      <c r="R260" s="182"/>
      <c r="S260" s="182"/>
      <c r="T260" s="182"/>
      <c r="U260" s="182"/>
      <c r="V260" s="182"/>
      <c r="W260" s="182"/>
      <c r="X260" s="182"/>
      <c r="Y260" s="182"/>
    </row>
    <row r="261" spans="1:25" ht="15.75" hidden="1" customHeight="1" x14ac:dyDescent="0.2">
      <c r="A261" s="182"/>
      <c r="B261" s="175"/>
      <c r="C261" s="176"/>
      <c r="D261" s="176"/>
      <c r="E261" s="176"/>
      <c r="F261" s="123"/>
      <c r="G261" s="123"/>
      <c r="H261" s="123"/>
      <c r="I261" s="123"/>
      <c r="J261" s="174"/>
      <c r="K261" s="182"/>
      <c r="L261" s="182"/>
      <c r="M261" s="182"/>
      <c r="N261" s="182"/>
      <c r="O261" s="182"/>
      <c r="P261" s="182"/>
      <c r="Q261" s="182"/>
      <c r="R261" s="182"/>
      <c r="S261" s="182"/>
      <c r="T261" s="182"/>
      <c r="U261" s="182"/>
      <c r="V261" s="182"/>
      <c r="W261" s="182"/>
      <c r="X261" s="182"/>
      <c r="Y261" s="182"/>
    </row>
    <row r="262" spans="1:25" ht="15.75" hidden="1" customHeight="1" x14ac:dyDescent="0.2">
      <c r="A262" s="182"/>
      <c r="B262" s="175"/>
      <c r="C262" s="176"/>
      <c r="D262" s="176"/>
      <c r="E262" s="176"/>
      <c r="F262" s="123"/>
      <c r="G262" s="123"/>
      <c r="H262" s="123"/>
      <c r="I262" s="123"/>
      <c r="J262" s="174"/>
      <c r="K262" s="182"/>
      <c r="L262" s="182"/>
      <c r="M262" s="182"/>
      <c r="N262" s="182"/>
      <c r="O262" s="182"/>
      <c r="P262" s="182"/>
      <c r="Q262" s="182"/>
      <c r="R262" s="182"/>
      <c r="S262" s="182"/>
      <c r="T262" s="182"/>
      <c r="U262" s="182"/>
      <c r="V262" s="182"/>
      <c r="W262" s="182"/>
      <c r="X262" s="182"/>
      <c r="Y262" s="182"/>
    </row>
    <row r="263" spans="1:25" ht="15.75" hidden="1" customHeight="1" x14ac:dyDescent="0.2">
      <c r="A263" s="182"/>
      <c r="B263" s="175"/>
      <c r="C263" s="176"/>
      <c r="D263" s="176"/>
      <c r="E263" s="176"/>
      <c r="F263" s="123"/>
      <c r="G263" s="123"/>
      <c r="H263" s="123"/>
      <c r="I263" s="123"/>
      <c r="J263" s="174"/>
      <c r="K263" s="182"/>
      <c r="L263" s="182"/>
      <c r="M263" s="182"/>
      <c r="N263" s="182"/>
      <c r="O263" s="182"/>
      <c r="P263" s="182"/>
      <c r="Q263" s="182"/>
      <c r="R263" s="182"/>
      <c r="S263" s="182"/>
      <c r="T263" s="182"/>
      <c r="U263" s="182"/>
      <c r="V263" s="182"/>
      <c r="W263" s="182"/>
      <c r="X263" s="182"/>
      <c r="Y263" s="182"/>
    </row>
    <row r="264" spans="1:25" ht="15.75" hidden="1" customHeight="1" x14ac:dyDescent="0.2">
      <c r="A264" s="182"/>
      <c r="B264" s="175"/>
      <c r="C264" s="176"/>
      <c r="D264" s="176"/>
      <c r="E264" s="176"/>
      <c r="F264" s="123"/>
      <c r="G264" s="123"/>
      <c r="H264" s="123"/>
      <c r="I264" s="123"/>
      <c r="J264" s="174"/>
      <c r="K264" s="182"/>
      <c r="L264" s="182"/>
      <c r="M264" s="182"/>
      <c r="N264" s="182"/>
      <c r="O264" s="182"/>
      <c r="P264" s="182"/>
      <c r="Q264" s="182"/>
      <c r="R264" s="182"/>
      <c r="S264" s="182"/>
      <c r="T264" s="182"/>
      <c r="U264" s="182"/>
      <c r="V264" s="182"/>
      <c r="W264" s="182"/>
      <c r="X264" s="182"/>
      <c r="Y264" s="182"/>
    </row>
    <row r="265" spans="1:25" ht="15.75" hidden="1" customHeight="1" x14ac:dyDescent="0.2">
      <c r="A265" s="182"/>
      <c r="B265" s="175"/>
      <c r="C265" s="176"/>
      <c r="D265" s="176"/>
      <c r="E265" s="176"/>
      <c r="F265" s="123"/>
      <c r="G265" s="123"/>
      <c r="H265" s="123"/>
      <c r="I265" s="123"/>
      <c r="J265" s="174"/>
      <c r="K265" s="182"/>
      <c r="L265" s="182"/>
      <c r="M265" s="182"/>
      <c r="N265" s="182"/>
      <c r="O265" s="182"/>
      <c r="P265" s="182"/>
      <c r="Q265" s="182"/>
      <c r="R265" s="182"/>
      <c r="S265" s="182"/>
      <c r="T265" s="182"/>
      <c r="U265" s="182"/>
      <c r="V265" s="182"/>
      <c r="W265" s="182"/>
      <c r="X265" s="182"/>
      <c r="Y265" s="182"/>
    </row>
    <row r="266" spans="1:25" ht="15.75" hidden="1" customHeight="1" x14ac:dyDescent="0.2">
      <c r="A266" s="182"/>
      <c r="B266" s="175"/>
      <c r="C266" s="176"/>
      <c r="D266" s="176"/>
      <c r="E266" s="176"/>
      <c r="F266" s="123"/>
      <c r="G266" s="123"/>
      <c r="H266" s="123"/>
      <c r="I266" s="123"/>
      <c r="J266" s="174"/>
      <c r="K266" s="182"/>
      <c r="L266" s="182"/>
      <c r="M266" s="182"/>
      <c r="N266" s="182"/>
      <c r="O266" s="182"/>
      <c r="P266" s="182"/>
      <c r="Q266" s="182"/>
      <c r="R266" s="182"/>
      <c r="S266" s="182"/>
      <c r="T266" s="182"/>
      <c r="U266" s="182"/>
      <c r="V266" s="182"/>
      <c r="W266" s="182"/>
      <c r="X266" s="182"/>
      <c r="Y266" s="182"/>
    </row>
    <row r="267" spans="1:25" ht="15.75" hidden="1" customHeight="1" x14ac:dyDescent="0.2">
      <c r="A267" s="182"/>
      <c r="B267" s="175"/>
      <c r="C267" s="176"/>
      <c r="D267" s="176"/>
      <c r="E267" s="176"/>
      <c r="F267" s="123"/>
      <c r="G267" s="123"/>
      <c r="H267" s="123"/>
      <c r="I267" s="123"/>
      <c r="J267" s="174"/>
      <c r="K267" s="182"/>
      <c r="L267" s="182"/>
      <c r="M267" s="182"/>
      <c r="N267" s="182"/>
      <c r="O267" s="182"/>
      <c r="P267" s="182"/>
      <c r="Q267" s="182"/>
      <c r="R267" s="182"/>
      <c r="S267" s="182"/>
      <c r="T267" s="182"/>
      <c r="U267" s="182"/>
      <c r="V267" s="182"/>
      <c r="W267" s="182"/>
      <c r="X267" s="182"/>
      <c r="Y267" s="182"/>
    </row>
    <row r="268" spans="1:25" ht="15.75" hidden="1" customHeight="1" x14ac:dyDescent="0.2">
      <c r="A268" s="182"/>
      <c r="B268" s="175"/>
      <c r="C268" s="176"/>
      <c r="D268" s="176"/>
      <c r="E268" s="176"/>
      <c r="F268" s="123"/>
      <c r="G268" s="123"/>
      <c r="H268" s="123"/>
      <c r="I268" s="123"/>
      <c r="J268" s="174"/>
      <c r="K268" s="182"/>
      <c r="L268" s="182"/>
      <c r="M268" s="182"/>
      <c r="N268" s="182"/>
      <c r="O268" s="182"/>
      <c r="P268" s="182"/>
      <c r="Q268" s="182"/>
      <c r="R268" s="182"/>
      <c r="S268" s="182"/>
      <c r="T268" s="182"/>
      <c r="U268" s="182"/>
      <c r="V268" s="182"/>
      <c r="W268" s="182"/>
      <c r="X268" s="182"/>
      <c r="Y268" s="182"/>
    </row>
    <row r="269" spans="1:25" ht="15.75" hidden="1" customHeight="1" x14ac:dyDescent="0.2">
      <c r="A269" s="182"/>
      <c r="B269" s="175"/>
      <c r="C269" s="176"/>
      <c r="D269" s="176"/>
      <c r="E269" s="176"/>
      <c r="F269" s="123"/>
      <c r="G269" s="123"/>
      <c r="H269" s="123"/>
      <c r="I269" s="123"/>
      <c r="J269" s="174"/>
      <c r="K269" s="182"/>
      <c r="L269" s="182"/>
      <c r="M269" s="182"/>
      <c r="N269" s="182"/>
      <c r="O269" s="182"/>
      <c r="P269" s="182"/>
      <c r="Q269" s="182"/>
      <c r="R269" s="182"/>
      <c r="S269" s="182"/>
      <c r="T269" s="182"/>
      <c r="U269" s="182"/>
      <c r="V269" s="182"/>
      <c r="W269" s="182"/>
      <c r="X269" s="182"/>
      <c r="Y269" s="182"/>
    </row>
    <row r="270" spans="1:25" ht="15.75" hidden="1" customHeight="1" x14ac:dyDescent="0.2">
      <c r="A270" s="182"/>
      <c r="B270" s="175"/>
      <c r="C270" s="176"/>
      <c r="D270" s="176"/>
      <c r="E270" s="176"/>
      <c r="F270" s="123"/>
      <c r="G270" s="123"/>
      <c r="H270" s="123"/>
      <c r="I270" s="123"/>
      <c r="J270" s="174"/>
      <c r="K270" s="182"/>
      <c r="L270" s="182"/>
      <c r="M270" s="182"/>
      <c r="N270" s="182"/>
      <c r="O270" s="182"/>
      <c r="P270" s="182"/>
      <c r="Q270" s="182"/>
      <c r="R270" s="182"/>
      <c r="S270" s="182"/>
      <c r="T270" s="182"/>
      <c r="U270" s="182"/>
      <c r="V270" s="182"/>
      <c r="W270" s="182"/>
      <c r="X270" s="182"/>
      <c r="Y270" s="182"/>
    </row>
    <row r="271" spans="1:25" ht="15.75" hidden="1" customHeight="1" x14ac:dyDescent="0.2">
      <c r="A271" s="182"/>
      <c r="B271" s="175"/>
      <c r="C271" s="176"/>
      <c r="D271" s="176"/>
      <c r="E271" s="176"/>
      <c r="F271" s="123"/>
      <c r="G271" s="123"/>
      <c r="H271" s="123"/>
      <c r="I271" s="123"/>
      <c r="J271" s="174"/>
      <c r="K271" s="182"/>
      <c r="L271" s="182"/>
      <c r="M271" s="182"/>
      <c r="N271" s="182"/>
      <c r="O271" s="182"/>
      <c r="P271" s="182"/>
      <c r="Q271" s="182"/>
      <c r="R271" s="182"/>
      <c r="S271" s="182"/>
      <c r="T271" s="182"/>
      <c r="U271" s="182"/>
      <c r="V271" s="182"/>
      <c r="W271" s="182"/>
      <c r="X271" s="182"/>
      <c r="Y271" s="182"/>
    </row>
    <row r="272" spans="1:25" ht="15.75" hidden="1" customHeight="1" x14ac:dyDescent="0.2">
      <c r="A272" s="182"/>
      <c r="B272" s="175"/>
      <c r="C272" s="176"/>
      <c r="D272" s="176"/>
      <c r="E272" s="176"/>
      <c r="F272" s="123"/>
      <c r="G272" s="123"/>
      <c r="H272" s="123"/>
      <c r="I272" s="123"/>
      <c r="J272" s="174"/>
      <c r="K272" s="182"/>
      <c r="L272" s="182"/>
      <c r="M272" s="182"/>
      <c r="N272" s="182"/>
      <c r="O272" s="182"/>
      <c r="P272" s="182"/>
      <c r="Q272" s="182"/>
      <c r="R272" s="182"/>
      <c r="S272" s="182"/>
      <c r="T272" s="182"/>
      <c r="U272" s="182"/>
      <c r="V272" s="182"/>
      <c r="W272" s="182"/>
      <c r="X272" s="182"/>
      <c r="Y272" s="182"/>
    </row>
    <row r="273" spans="1:25" ht="15.75" hidden="1" customHeight="1" x14ac:dyDescent="0.2">
      <c r="A273" s="182"/>
      <c r="B273" s="175"/>
      <c r="C273" s="176"/>
      <c r="D273" s="176"/>
      <c r="E273" s="176"/>
      <c r="F273" s="123"/>
      <c r="G273" s="123"/>
      <c r="H273" s="123"/>
      <c r="I273" s="123"/>
      <c r="J273" s="174"/>
      <c r="K273" s="182"/>
      <c r="L273" s="182"/>
      <c r="M273" s="182"/>
      <c r="N273" s="182"/>
      <c r="O273" s="182"/>
      <c r="P273" s="182"/>
      <c r="Q273" s="182"/>
      <c r="R273" s="182"/>
      <c r="S273" s="182"/>
      <c r="T273" s="182"/>
      <c r="U273" s="182"/>
      <c r="V273" s="182"/>
      <c r="W273" s="182"/>
      <c r="X273" s="182"/>
      <c r="Y273" s="182"/>
    </row>
    <row r="274" spans="1:25" ht="15.75" hidden="1" customHeight="1" x14ac:dyDescent="0.2">
      <c r="A274" s="182"/>
      <c r="B274" s="175"/>
      <c r="C274" s="176"/>
      <c r="D274" s="176"/>
      <c r="E274" s="176"/>
      <c r="F274" s="123"/>
      <c r="G274" s="123"/>
      <c r="H274" s="123"/>
      <c r="I274" s="123"/>
      <c r="J274" s="174"/>
      <c r="K274" s="182"/>
      <c r="L274" s="182"/>
      <c r="M274" s="182"/>
      <c r="N274" s="182"/>
      <c r="O274" s="182"/>
      <c r="P274" s="182"/>
      <c r="Q274" s="182"/>
      <c r="R274" s="182"/>
      <c r="S274" s="182"/>
      <c r="T274" s="182"/>
      <c r="U274" s="182"/>
      <c r="V274" s="182"/>
      <c r="W274" s="182"/>
      <c r="X274" s="182"/>
      <c r="Y274" s="182"/>
    </row>
    <row r="275" spans="1:25" ht="15.75" hidden="1" customHeight="1" x14ac:dyDescent="0.2">
      <c r="A275" s="182"/>
      <c r="B275" s="175"/>
      <c r="C275" s="176"/>
      <c r="D275" s="176"/>
      <c r="E275" s="176"/>
      <c r="F275" s="123"/>
      <c r="G275" s="123"/>
      <c r="H275" s="123"/>
      <c r="I275" s="123"/>
      <c r="J275" s="174"/>
      <c r="K275" s="182"/>
      <c r="L275" s="182"/>
      <c r="M275" s="182"/>
      <c r="N275" s="182"/>
      <c r="O275" s="182"/>
      <c r="P275" s="182"/>
      <c r="Q275" s="182"/>
      <c r="R275" s="182"/>
      <c r="S275" s="182"/>
      <c r="T275" s="182"/>
      <c r="U275" s="182"/>
      <c r="V275" s="182"/>
      <c r="W275" s="182"/>
      <c r="X275" s="182"/>
      <c r="Y275" s="182"/>
    </row>
    <row r="276" spans="1:25" ht="15.75" hidden="1" customHeight="1" x14ac:dyDescent="0.2">
      <c r="A276" s="182"/>
      <c r="B276" s="175"/>
      <c r="C276" s="176"/>
      <c r="D276" s="176"/>
      <c r="E276" s="176"/>
      <c r="F276" s="123"/>
      <c r="G276" s="123"/>
      <c r="H276" s="123"/>
      <c r="I276" s="123"/>
      <c r="J276" s="174"/>
      <c r="K276" s="182"/>
      <c r="L276" s="182"/>
      <c r="M276" s="182"/>
      <c r="N276" s="182"/>
      <c r="O276" s="182"/>
      <c r="P276" s="182"/>
      <c r="Q276" s="182"/>
      <c r="R276" s="182"/>
      <c r="S276" s="182"/>
      <c r="T276" s="182"/>
      <c r="U276" s="182"/>
      <c r="V276" s="182"/>
      <c r="W276" s="182"/>
      <c r="X276" s="182"/>
      <c r="Y276" s="182"/>
    </row>
    <row r="277" spans="1:25" ht="15.75" hidden="1" customHeight="1" x14ac:dyDescent="0.2">
      <c r="A277" s="182"/>
      <c r="B277" s="175"/>
      <c r="C277" s="176"/>
      <c r="D277" s="176"/>
      <c r="E277" s="176"/>
      <c r="F277" s="123"/>
      <c r="G277" s="123"/>
      <c r="H277" s="123"/>
      <c r="I277" s="123"/>
      <c r="J277" s="174"/>
      <c r="K277" s="182"/>
      <c r="L277" s="182"/>
      <c r="M277" s="182"/>
      <c r="N277" s="182"/>
      <c r="O277" s="182"/>
      <c r="P277" s="182"/>
      <c r="Q277" s="182"/>
      <c r="R277" s="182"/>
      <c r="S277" s="182"/>
      <c r="T277" s="182"/>
      <c r="U277" s="182"/>
      <c r="V277" s="182"/>
      <c r="W277" s="182"/>
      <c r="X277" s="182"/>
      <c r="Y277" s="182"/>
    </row>
    <row r="278" spans="1:25" ht="15.75" hidden="1" customHeight="1" x14ac:dyDescent="0.2">
      <c r="A278" s="182"/>
      <c r="B278" s="175"/>
      <c r="C278" s="176"/>
      <c r="D278" s="176"/>
      <c r="E278" s="176"/>
      <c r="F278" s="123"/>
      <c r="G278" s="123"/>
      <c r="H278" s="123"/>
      <c r="I278" s="123"/>
      <c r="J278" s="174"/>
      <c r="K278" s="182"/>
      <c r="L278" s="182"/>
      <c r="M278" s="182"/>
      <c r="N278" s="182"/>
      <c r="O278" s="182"/>
      <c r="P278" s="182"/>
      <c r="Q278" s="182"/>
      <c r="R278" s="182"/>
      <c r="S278" s="182"/>
      <c r="T278" s="182"/>
      <c r="U278" s="182"/>
      <c r="V278" s="182"/>
      <c r="W278" s="182"/>
      <c r="X278" s="182"/>
      <c r="Y278" s="182"/>
    </row>
    <row r="279" spans="1:25" ht="15.75" hidden="1" customHeight="1" x14ac:dyDescent="0.2">
      <c r="A279" s="182"/>
      <c r="B279" s="175"/>
      <c r="C279" s="176"/>
      <c r="D279" s="176"/>
      <c r="E279" s="176"/>
      <c r="F279" s="123"/>
      <c r="G279" s="123"/>
      <c r="H279" s="123"/>
      <c r="I279" s="123"/>
      <c r="J279" s="174"/>
      <c r="K279" s="182"/>
      <c r="L279" s="182"/>
      <c r="M279" s="182"/>
      <c r="N279" s="182"/>
      <c r="O279" s="182"/>
      <c r="P279" s="182"/>
      <c r="Q279" s="182"/>
      <c r="R279" s="182"/>
      <c r="S279" s="182"/>
      <c r="T279" s="182"/>
      <c r="U279" s="182"/>
      <c r="V279" s="182"/>
      <c r="W279" s="182"/>
      <c r="X279" s="182"/>
      <c r="Y279" s="182"/>
    </row>
    <row r="280" spans="1:25" ht="15.75" hidden="1" customHeight="1" x14ac:dyDescent="0.2">
      <c r="A280" s="182"/>
      <c r="B280" s="175"/>
      <c r="C280" s="176"/>
      <c r="D280" s="176"/>
      <c r="E280" s="176"/>
      <c r="F280" s="123"/>
      <c r="G280" s="123"/>
      <c r="H280" s="123"/>
      <c r="I280" s="123"/>
      <c r="J280" s="174"/>
      <c r="K280" s="182"/>
      <c r="L280" s="182"/>
      <c r="M280" s="182"/>
      <c r="N280" s="182"/>
      <c r="O280" s="182"/>
      <c r="P280" s="182"/>
      <c r="Q280" s="182"/>
      <c r="R280" s="182"/>
      <c r="S280" s="182"/>
      <c r="T280" s="182"/>
      <c r="U280" s="182"/>
      <c r="V280" s="182"/>
      <c r="W280" s="182"/>
      <c r="X280" s="182"/>
      <c r="Y280" s="182"/>
    </row>
    <row r="281" spans="1:25" ht="15.75" hidden="1" customHeight="1" x14ac:dyDescent="0.2">
      <c r="A281" s="182"/>
      <c r="B281" s="175"/>
      <c r="C281" s="176"/>
      <c r="D281" s="176"/>
      <c r="E281" s="176"/>
      <c r="F281" s="123"/>
      <c r="G281" s="123"/>
      <c r="H281" s="123"/>
      <c r="I281" s="123"/>
      <c r="J281" s="174"/>
      <c r="K281" s="182"/>
      <c r="L281" s="182"/>
      <c r="M281" s="182"/>
      <c r="N281" s="182"/>
      <c r="O281" s="182"/>
      <c r="P281" s="182"/>
      <c r="Q281" s="182"/>
      <c r="R281" s="182"/>
      <c r="S281" s="182"/>
      <c r="T281" s="182"/>
      <c r="U281" s="182"/>
      <c r="V281" s="182"/>
      <c r="W281" s="182"/>
      <c r="X281" s="182"/>
      <c r="Y281" s="182"/>
    </row>
    <row r="282" spans="1:25" ht="15.75" hidden="1" customHeight="1" x14ac:dyDescent="0.2">
      <c r="A282" s="182"/>
      <c r="B282" s="175"/>
      <c r="C282" s="176"/>
      <c r="D282" s="176"/>
      <c r="E282" s="176"/>
      <c r="F282" s="123"/>
      <c r="G282" s="123"/>
      <c r="H282" s="123"/>
      <c r="I282" s="123"/>
      <c r="J282" s="174"/>
      <c r="K282" s="182"/>
      <c r="L282" s="182"/>
      <c r="M282" s="182"/>
      <c r="N282" s="182"/>
      <c r="O282" s="182"/>
      <c r="P282" s="182"/>
      <c r="Q282" s="182"/>
      <c r="R282" s="182"/>
      <c r="S282" s="182"/>
      <c r="T282" s="182"/>
      <c r="U282" s="182"/>
      <c r="V282" s="182"/>
      <c r="W282" s="182"/>
      <c r="X282" s="182"/>
      <c r="Y282" s="182"/>
    </row>
    <row r="283" spans="1:25" ht="15.75" hidden="1" customHeight="1" x14ac:dyDescent="0.2">
      <c r="A283" s="182"/>
      <c r="B283" s="175"/>
      <c r="C283" s="176"/>
      <c r="D283" s="176"/>
      <c r="E283" s="176"/>
      <c r="F283" s="123"/>
      <c r="G283" s="123"/>
      <c r="H283" s="123"/>
      <c r="I283" s="123"/>
      <c r="J283" s="174"/>
      <c r="K283" s="182"/>
      <c r="L283" s="182"/>
      <c r="M283" s="182"/>
      <c r="N283" s="182"/>
      <c r="O283" s="182"/>
      <c r="P283" s="182"/>
      <c r="Q283" s="182"/>
      <c r="R283" s="182"/>
      <c r="S283" s="182"/>
      <c r="T283" s="182"/>
      <c r="U283" s="182"/>
      <c r="V283" s="182"/>
      <c r="W283" s="182"/>
      <c r="X283" s="182"/>
      <c r="Y283" s="182"/>
    </row>
    <row r="284" spans="1:25" ht="15.75" hidden="1" customHeight="1" x14ac:dyDescent="0.2">
      <c r="A284" s="182"/>
      <c r="B284" s="175"/>
      <c r="C284" s="176"/>
      <c r="D284" s="176"/>
      <c r="E284" s="176"/>
      <c r="F284" s="123"/>
      <c r="G284" s="123"/>
      <c r="H284" s="123"/>
      <c r="I284" s="123"/>
      <c r="J284" s="174"/>
      <c r="K284" s="182"/>
      <c r="L284" s="182"/>
      <c r="M284" s="182"/>
      <c r="N284" s="182"/>
      <c r="O284" s="182"/>
      <c r="P284" s="182"/>
      <c r="Q284" s="182"/>
      <c r="R284" s="182"/>
      <c r="S284" s="182"/>
      <c r="T284" s="182"/>
      <c r="U284" s="182"/>
      <c r="V284" s="182"/>
      <c r="W284" s="182"/>
      <c r="X284" s="182"/>
      <c r="Y284" s="182"/>
    </row>
    <row r="285" spans="1:25" ht="15.75" hidden="1" customHeight="1" x14ac:dyDescent="0.2">
      <c r="A285" s="182"/>
      <c r="B285" s="175"/>
      <c r="C285" s="176"/>
      <c r="D285" s="176"/>
      <c r="E285" s="176"/>
      <c r="F285" s="123"/>
      <c r="G285" s="123"/>
      <c r="H285" s="123"/>
      <c r="I285" s="123"/>
      <c r="J285" s="174"/>
      <c r="K285" s="182"/>
      <c r="L285" s="182"/>
      <c r="M285" s="182"/>
      <c r="N285" s="182"/>
      <c r="O285" s="182"/>
      <c r="P285" s="182"/>
      <c r="Q285" s="182"/>
      <c r="R285" s="182"/>
      <c r="S285" s="182"/>
      <c r="T285" s="182"/>
      <c r="U285" s="182"/>
      <c r="V285" s="182"/>
      <c r="W285" s="182"/>
      <c r="X285" s="182"/>
      <c r="Y285" s="182"/>
    </row>
    <row r="286" spans="1:25" ht="15.75" hidden="1" customHeight="1" x14ac:dyDescent="0.2">
      <c r="A286" s="182"/>
      <c r="B286" s="175"/>
      <c r="C286" s="176"/>
      <c r="D286" s="176"/>
      <c r="E286" s="176"/>
      <c r="F286" s="123"/>
      <c r="G286" s="123"/>
      <c r="H286" s="123"/>
      <c r="I286" s="123"/>
      <c r="J286" s="174"/>
      <c r="K286" s="182"/>
      <c r="L286" s="182"/>
      <c r="M286" s="182"/>
      <c r="N286" s="182"/>
      <c r="O286" s="182"/>
      <c r="P286" s="182"/>
      <c r="Q286" s="182"/>
      <c r="R286" s="182"/>
      <c r="S286" s="182"/>
      <c r="T286" s="182"/>
      <c r="U286" s="182"/>
      <c r="V286" s="182"/>
      <c r="W286" s="182"/>
      <c r="X286" s="182"/>
      <c r="Y286" s="182"/>
    </row>
    <row r="287" spans="1:25" ht="15.75" hidden="1" customHeight="1" x14ac:dyDescent="0.2">
      <c r="A287" s="182"/>
      <c r="B287" s="175"/>
      <c r="C287" s="176"/>
      <c r="D287" s="176"/>
      <c r="E287" s="176"/>
      <c r="F287" s="123"/>
      <c r="G287" s="123"/>
      <c r="H287" s="123"/>
      <c r="I287" s="123"/>
      <c r="J287" s="174"/>
      <c r="K287" s="182"/>
      <c r="L287" s="182"/>
      <c r="M287" s="182"/>
      <c r="N287" s="182"/>
      <c r="O287" s="182"/>
      <c r="P287" s="182"/>
      <c r="Q287" s="182"/>
      <c r="R287" s="182"/>
      <c r="S287" s="182"/>
      <c r="T287" s="182"/>
      <c r="U287" s="182"/>
      <c r="V287" s="182"/>
      <c r="W287" s="182"/>
      <c r="X287" s="182"/>
      <c r="Y287" s="182"/>
    </row>
    <row r="288" spans="1:25" ht="15.75" hidden="1" customHeight="1" x14ac:dyDescent="0.2">
      <c r="A288" s="182"/>
      <c r="B288" s="175"/>
      <c r="C288" s="176"/>
      <c r="D288" s="176"/>
      <c r="E288" s="176"/>
      <c r="F288" s="123"/>
      <c r="G288" s="123"/>
      <c r="H288" s="123"/>
      <c r="I288" s="123"/>
      <c r="J288" s="174"/>
      <c r="K288" s="182"/>
      <c r="L288" s="182"/>
      <c r="M288" s="182"/>
      <c r="N288" s="182"/>
      <c r="O288" s="182"/>
      <c r="P288" s="182"/>
      <c r="Q288" s="182"/>
      <c r="R288" s="182"/>
      <c r="S288" s="182"/>
      <c r="T288" s="182"/>
      <c r="U288" s="182"/>
      <c r="V288" s="182"/>
      <c r="W288" s="182"/>
      <c r="X288" s="182"/>
      <c r="Y288" s="182"/>
    </row>
    <row r="289" spans="1:25" ht="15.75" hidden="1" customHeight="1" x14ac:dyDescent="0.2">
      <c r="A289" s="182"/>
      <c r="B289" s="175"/>
      <c r="C289" s="176"/>
      <c r="D289" s="176"/>
      <c r="E289" s="176"/>
      <c r="F289" s="123"/>
      <c r="G289" s="123"/>
      <c r="H289" s="123"/>
      <c r="I289" s="123"/>
      <c r="J289" s="174"/>
      <c r="K289" s="182"/>
      <c r="L289" s="182"/>
      <c r="M289" s="182"/>
      <c r="N289" s="182"/>
      <c r="O289" s="182"/>
      <c r="P289" s="182"/>
      <c r="Q289" s="182"/>
      <c r="R289" s="182"/>
      <c r="S289" s="182"/>
      <c r="T289" s="182"/>
      <c r="U289" s="182"/>
      <c r="V289" s="182"/>
      <c r="W289" s="182"/>
      <c r="X289" s="182"/>
      <c r="Y289" s="182"/>
    </row>
    <row r="290" spans="1:25" ht="15.75" hidden="1" customHeight="1" x14ac:dyDescent="0.2">
      <c r="A290" s="182"/>
      <c r="B290" s="175"/>
      <c r="C290" s="176"/>
      <c r="D290" s="176"/>
      <c r="E290" s="176"/>
      <c r="F290" s="123"/>
      <c r="G290" s="123"/>
      <c r="H290" s="123"/>
      <c r="I290" s="123"/>
      <c r="J290" s="174"/>
      <c r="K290" s="182"/>
      <c r="L290" s="182"/>
      <c r="M290" s="182"/>
      <c r="N290" s="182"/>
      <c r="O290" s="182"/>
      <c r="P290" s="182"/>
      <c r="Q290" s="182"/>
      <c r="R290" s="182"/>
      <c r="S290" s="182"/>
      <c r="T290" s="182"/>
      <c r="U290" s="182"/>
      <c r="V290" s="182"/>
      <c r="W290" s="182"/>
      <c r="X290" s="182"/>
      <c r="Y290" s="182"/>
    </row>
    <row r="291" spans="1:25" ht="15.75" hidden="1" customHeight="1" x14ac:dyDescent="0.2">
      <c r="A291" s="182"/>
      <c r="B291" s="175"/>
      <c r="C291" s="176"/>
      <c r="D291" s="176"/>
      <c r="E291" s="176"/>
      <c r="F291" s="123"/>
      <c r="G291" s="123"/>
      <c r="H291" s="123"/>
      <c r="I291" s="123"/>
      <c r="J291" s="174"/>
      <c r="K291" s="182"/>
      <c r="L291" s="182"/>
      <c r="M291" s="182"/>
      <c r="N291" s="182"/>
      <c r="O291" s="182"/>
      <c r="P291" s="182"/>
      <c r="Q291" s="182"/>
      <c r="R291" s="182"/>
      <c r="S291" s="182"/>
      <c r="T291" s="182"/>
      <c r="U291" s="182"/>
      <c r="V291" s="182"/>
      <c r="W291" s="182"/>
      <c r="X291" s="182"/>
      <c r="Y291" s="182"/>
    </row>
    <row r="292" spans="1:25" ht="15.75" hidden="1" customHeight="1" x14ac:dyDescent="0.2">
      <c r="A292" s="182"/>
      <c r="B292" s="175"/>
      <c r="C292" s="176"/>
      <c r="D292" s="176"/>
      <c r="E292" s="176"/>
      <c r="F292" s="123"/>
      <c r="G292" s="123"/>
      <c r="H292" s="123"/>
      <c r="I292" s="123"/>
      <c r="J292" s="174"/>
      <c r="K292" s="182"/>
      <c r="L292" s="182"/>
      <c r="M292" s="182"/>
      <c r="N292" s="182"/>
      <c r="O292" s="182"/>
      <c r="P292" s="182"/>
      <c r="Q292" s="182"/>
      <c r="R292" s="182"/>
      <c r="S292" s="182"/>
      <c r="T292" s="182"/>
      <c r="U292" s="182"/>
      <c r="V292" s="182"/>
      <c r="W292" s="182"/>
      <c r="X292" s="182"/>
      <c r="Y292" s="182"/>
    </row>
    <row r="293" spans="1:25" ht="15.75" hidden="1" customHeight="1" x14ac:dyDescent="0.2">
      <c r="A293" s="182"/>
      <c r="B293" s="175"/>
      <c r="C293" s="176"/>
      <c r="D293" s="176"/>
      <c r="E293" s="176"/>
      <c r="F293" s="123"/>
      <c r="G293" s="123"/>
      <c r="H293" s="123"/>
      <c r="I293" s="123"/>
      <c r="J293" s="174"/>
      <c r="K293" s="182"/>
      <c r="L293" s="182"/>
      <c r="M293" s="182"/>
      <c r="N293" s="182"/>
      <c r="O293" s="182"/>
      <c r="P293" s="182"/>
      <c r="Q293" s="182"/>
      <c r="R293" s="182"/>
      <c r="S293" s="182"/>
      <c r="T293" s="182"/>
      <c r="U293" s="182"/>
      <c r="V293" s="182"/>
      <c r="W293" s="182"/>
      <c r="X293" s="182"/>
      <c r="Y293" s="182"/>
    </row>
    <row r="294" spans="1:25" ht="15.75" hidden="1" customHeight="1" x14ac:dyDescent="0.2">
      <c r="A294" s="182"/>
      <c r="B294" s="175"/>
      <c r="C294" s="176"/>
      <c r="D294" s="176"/>
      <c r="E294" s="176"/>
      <c r="F294" s="123"/>
      <c r="G294" s="123"/>
      <c r="H294" s="123"/>
      <c r="I294" s="123"/>
      <c r="J294" s="174"/>
      <c r="K294" s="182"/>
      <c r="L294" s="182"/>
      <c r="M294" s="182"/>
      <c r="N294" s="182"/>
      <c r="O294" s="182"/>
      <c r="P294" s="182"/>
      <c r="Q294" s="182"/>
      <c r="R294" s="182"/>
      <c r="S294" s="182"/>
      <c r="T294" s="182"/>
      <c r="U294" s="182"/>
      <c r="V294" s="182"/>
      <c r="W294" s="182"/>
      <c r="X294" s="182"/>
      <c r="Y294" s="182"/>
    </row>
    <row r="295" spans="1:25" ht="15.75" hidden="1" customHeight="1" x14ac:dyDescent="0.2">
      <c r="A295" s="182"/>
      <c r="B295" s="175"/>
      <c r="C295" s="176"/>
      <c r="D295" s="176"/>
      <c r="E295" s="176"/>
      <c r="F295" s="123"/>
      <c r="G295" s="123"/>
      <c r="H295" s="123"/>
      <c r="I295" s="123"/>
      <c r="J295" s="174"/>
      <c r="K295" s="182"/>
      <c r="L295" s="182"/>
      <c r="M295" s="182"/>
      <c r="N295" s="182"/>
      <c r="O295" s="182"/>
      <c r="P295" s="182"/>
      <c r="Q295" s="182"/>
      <c r="R295" s="182"/>
      <c r="S295" s="182"/>
      <c r="T295" s="182"/>
      <c r="U295" s="182"/>
      <c r="V295" s="182"/>
      <c r="W295" s="182"/>
      <c r="X295" s="182"/>
      <c r="Y295" s="182"/>
    </row>
    <row r="296" spans="1:25" ht="15.75" hidden="1" customHeight="1" x14ac:dyDescent="0.2">
      <c r="A296" s="182"/>
      <c r="B296" s="175"/>
      <c r="C296" s="176"/>
      <c r="D296" s="176"/>
      <c r="E296" s="176"/>
      <c r="F296" s="123"/>
      <c r="G296" s="123"/>
      <c r="H296" s="123"/>
      <c r="I296" s="123"/>
      <c r="J296" s="174"/>
      <c r="K296" s="182"/>
      <c r="L296" s="182"/>
      <c r="M296" s="182"/>
      <c r="N296" s="182"/>
      <c r="O296" s="182"/>
      <c r="P296" s="182"/>
      <c r="Q296" s="182"/>
      <c r="R296" s="182"/>
      <c r="S296" s="182"/>
      <c r="T296" s="182"/>
      <c r="U296" s="182"/>
      <c r="V296" s="182"/>
      <c r="W296" s="182"/>
      <c r="X296" s="182"/>
      <c r="Y296" s="182"/>
    </row>
    <row r="297" spans="1:25" ht="15.75" hidden="1" customHeight="1" x14ac:dyDescent="0.2">
      <c r="A297" s="182"/>
      <c r="B297" s="175"/>
      <c r="C297" s="176"/>
      <c r="D297" s="176"/>
      <c r="E297" s="176"/>
      <c r="F297" s="123"/>
      <c r="G297" s="123"/>
      <c r="H297" s="123"/>
      <c r="I297" s="123"/>
      <c r="J297" s="174"/>
      <c r="K297" s="182"/>
      <c r="L297" s="182"/>
      <c r="M297" s="182"/>
      <c r="N297" s="182"/>
      <c r="O297" s="182"/>
      <c r="P297" s="182"/>
      <c r="Q297" s="182"/>
      <c r="R297" s="182"/>
      <c r="S297" s="182"/>
      <c r="T297" s="182"/>
      <c r="U297" s="182"/>
      <c r="V297" s="182"/>
      <c r="W297" s="182"/>
      <c r="X297" s="182"/>
      <c r="Y297" s="182"/>
    </row>
    <row r="298" spans="1:25" ht="15.75" hidden="1" customHeight="1" x14ac:dyDescent="0.2">
      <c r="A298" s="182"/>
      <c r="B298" s="175"/>
      <c r="C298" s="176"/>
      <c r="D298" s="176"/>
      <c r="E298" s="176"/>
      <c r="F298" s="123"/>
      <c r="G298" s="123"/>
      <c r="H298" s="123"/>
      <c r="I298" s="123"/>
      <c r="J298" s="174"/>
      <c r="K298" s="182"/>
      <c r="L298" s="182"/>
      <c r="M298" s="182"/>
      <c r="N298" s="182"/>
      <c r="O298" s="182"/>
      <c r="P298" s="182"/>
      <c r="Q298" s="182"/>
      <c r="R298" s="182"/>
      <c r="S298" s="182"/>
      <c r="T298" s="182"/>
      <c r="U298" s="182"/>
      <c r="V298" s="182"/>
      <c r="W298" s="182"/>
      <c r="X298" s="182"/>
      <c r="Y298" s="182"/>
    </row>
    <row r="299" spans="1:25" ht="15.75" hidden="1" customHeight="1" x14ac:dyDescent="0.2">
      <c r="A299" s="182"/>
      <c r="B299" s="175"/>
      <c r="C299" s="176"/>
      <c r="D299" s="176"/>
      <c r="E299" s="176"/>
      <c r="F299" s="123"/>
      <c r="G299" s="123"/>
      <c r="H299" s="123"/>
      <c r="I299" s="123"/>
      <c r="J299" s="174"/>
      <c r="K299" s="182"/>
      <c r="L299" s="182"/>
      <c r="M299" s="182"/>
      <c r="N299" s="182"/>
      <c r="O299" s="182"/>
      <c r="P299" s="182"/>
      <c r="Q299" s="182"/>
      <c r="R299" s="182"/>
      <c r="S299" s="182"/>
      <c r="T299" s="182"/>
      <c r="U299" s="182"/>
      <c r="V299" s="182"/>
      <c r="W299" s="182"/>
      <c r="X299" s="182"/>
      <c r="Y299" s="182"/>
    </row>
    <row r="300" spans="1:25" ht="15.75" hidden="1" customHeight="1" x14ac:dyDescent="0.2">
      <c r="A300" s="182"/>
      <c r="B300" s="175"/>
      <c r="C300" s="176"/>
      <c r="D300" s="176"/>
      <c r="E300" s="176"/>
      <c r="F300" s="123"/>
      <c r="G300" s="123"/>
      <c r="H300" s="123"/>
      <c r="I300" s="123"/>
      <c r="J300" s="174"/>
      <c r="K300" s="182"/>
      <c r="L300" s="182"/>
      <c r="M300" s="182"/>
      <c r="N300" s="182"/>
      <c r="O300" s="182"/>
      <c r="P300" s="182"/>
      <c r="Q300" s="182"/>
      <c r="R300" s="182"/>
      <c r="S300" s="182"/>
      <c r="T300" s="182"/>
      <c r="U300" s="182"/>
      <c r="V300" s="182"/>
      <c r="W300" s="182"/>
      <c r="X300" s="182"/>
      <c r="Y300" s="182"/>
    </row>
    <row r="301" spans="1:25" ht="15.75" hidden="1" customHeight="1" x14ac:dyDescent="0.2">
      <c r="A301" s="182"/>
      <c r="B301" s="175"/>
      <c r="C301" s="176"/>
      <c r="D301" s="176"/>
      <c r="E301" s="176"/>
      <c r="F301" s="123"/>
      <c r="G301" s="123"/>
      <c r="H301" s="123"/>
      <c r="I301" s="123"/>
      <c r="J301" s="174"/>
      <c r="K301" s="182"/>
      <c r="L301" s="182"/>
      <c r="M301" s="182"/>
      <c r="N301" s="182"/>
      <c r="O301" s="182"/>
      <c r="P301" s="182"/>
      <c r="Q301" s="182"/>
      <c r="R301" s="182"/>
      <c r="S301" s="182"/>
      <c r="T301" s="182"/>
      <c r="U301" s="182"/>
      <c r="V301" s="182"/>
      <c r="W301" s="182"/>
      <c r="X301" s="182"/>
      <c r="Y301" s="182"/>
    </row>
    <row r="302" spans="1:25" ht="15.75" hidden="1" customHeight="1" x14ac:dyDescent="0.2">
      <c r="A302" s="182"/>
      <c r="B302" s="175"/>
      <c r="C302" s="176"/>
      <c r="D302" s="176"/>
      <c r="E302" s="176"/>
      <c r="F302" s="123"/>
      <c r="G302" s="123"/>
      <c r="H302" s="123"/>
      <c r="I302" s="123"/>
      <c r="J302" s="174"/>
      <c r="K302" s="182"/>
      <c r="L302" s="182"/>
      <c r="M302" s="182"/>
      <c r="N302" s="182"/>
      <c r="O302" s="182"/>
      <c r="P302" s="182"/>
      <c r="Q302" s="182"/>
      <c r="R302" s="182"/>
      <c r="S302" s="182"/>
      <c r="T302" s="182"/>
      <c r="U302" s="182"/>
      <c r="V302" s="182"/>
      <c r="W302" s="182"/>
      <c r="X302" s="182"/>
      <c r="Y302" s="182"/>
    </row>
    <row r="303" spans="1:25" ht="15.75" hidden="1" customHeight="1" x14ac:dyDescent="0.2">
      <c r="A303" s="182"/>
      <c r="B303" s="175"/>
      <c r="C303" s="176"/>
      <c r="D303" s="176"/>
      <c r="E303" s="176"/>
      <c r="F303" s="123"/>
      <c r="G303" s="123"/>
      <c r="H303" s="123"/>
      <c r="I303" s="123"/>
      <c r="J303" s="174"/>
      <c r="K303" s="182"/>
      <c r="L303" s="182"/>
      <c r="M303" s="182"/>
      <c r="N303" s="182"/>
      <c r="O303" s="182"/>
      <c r="P303" s="182"/>
      <c r="Q303" s="182"/>
      <c r="R303" s="182"/>
      <c r="S303" s="182"/>
      <c r="T303" s="182"/>
      <c r="U303" s="182"/>
      <c r="V303" s="182"/>
      <c r="W303" s="182"/>
      <c r="X303" s="182"/>
      <c r="Y303" s="182"/>
    </row>
    <row r="304" spans="1:25" ht="15.75" hidden="1" customHeight="1" x14ac:dyDescent="0.2">
      <c r="A304" s="182"/>
      <c r="B304" s="175"/>
      <c r="C304" s="176"/>
      <c r="D304" s="176"/>
      <c r="E304" s="176"/>
      <c r="F304" s="123"/>
      <c r="G304" s="123"/>
      <c r="H304" s="123"/>
      <c r="I304" s="123"/>
      <c r="J304" s="174"/>
      <c r="K304" s="182"/>
      <c r="L304" s="182"/>
      <c r="M304" s="182"/>
      <c r="N304" s="182"/>
      <c r="O304" s="182"/>
      <c r="P304" s="182"/>
      <c r="Q304" s="182"/>
      <c r="R304" s="182"/>
      <c r="S304" s="182"/>
      <c r="T304" s="182"/>
      <c r="U304" s="182"/>
      <c r="V304" s="182"/>
      <c r="W304" s="182"/>
      <c r="X304" s="182"/>
      <c r="Y304" s="182"/>
    </row>
    <row r="305" spans="1:25" ht="15.75" hidden="1" customHeight="1" x14ac:dyDescent="0.2">
      <c r="A305" s="182"/>
      <c r="B305" s="175"/>
      <c r="C305" s="176"/>
      <c r="D305" s="176"/>
      <c r="E305" s="176"/>
      <c r="F305" s="123"/>
      <c r="G305" s="123"/>
      <c r="H305" s="123"/>
      <c r="I305" s="123"/>
      <c r="J305" s="174"/>
      <c r="K305" s="182"/>
      <c r="L305" s="182"/>
      <c r="M305" s="182"/>
      <c r="N305" s="182"/>
      <c r="O305" s="182"/>
      <c r="P305" s="182"/>
      <c r="Q305" s="182"/>
      <c r="R305" s="182"/>
      <c r="S305" s="182"/>
      <c r="T305" s="182"/>
      <c r="U305" s="182"/>
      <c r="V305" s="182"/>
      <c r="W305" s="182"/>
      <c r="X305" s="182"/>
      <c r="Y305" s="182"/>
    </row>
    <row r="306" spans="1:25" ht="15.75" hidden="1" customHeight="1" x14ac:dyDescent="0.2">
      <c r="A306" s="182"/>
      <c r="B306" s="175"/>
      <c r="C306" s="176"/>
      <c r="D306" s="176"/>
      <c r="E306" s="176"/>
      <c r="F306" s="123"/>
      <c r="G306" s="123"/>
      <c r="H306" s="123"/>
      <c r="I306" s="123"/>
      <c r="J306" s="174"/>
      <c r="K306" s="182"/>
      <c r="L306" s="182"/>
      <c r="M306" s="182"/>
      <c r="N306" s="182"/>
      <c r="O306" s="182"/>
      <c r="P306" s="182"/>
      <c r="Q306" s="182"/>
      <c r="R306" s="182"/>
      <c r="S306" s="182"/>
      <c r="T306" s="182"/>
      <c r="U306" s="182"/>
      <c r="V306" s="182"/>
      <c r="W306" s="182"/>
      <c r="X306" s="182"/>
      <c r="Y306" s="182"/>
    </row>
    <row r="307" spans="1:25" ht="15.75" hidden="1" customHeight="1" x14ac:dyDescent="0.2">
      <c r="A307" s="182"/>
      <c r="B307" s="175"/>
      <c r="C307" s="176"/>
      <c r="D307" s="176"/>
      <c r="E307" s="176"/>
      <c r="F307" s="123"/>
      <c r="G307" s="123"/>
      <c r="H307" s="123"/>
      <c r="I307" s="123"/>
      <c r="J307" s="174"/>
      <c r="K307" s="182"/>
      <c r="L307" s="182"/>
      <c r="M307" s="182"/>
      <c r="N307" s="182"/>
      <c r="O307" s="182"/>
      <c r="P307" s="182"/>
      <c r="Q307" s="182"/>
      <c r="R307" s="182"/>
      <c r="S307" s="182"/>
      <c r="T307" s="182"/>
      <c r="U307" s="182"/>
      <c r="V307" s="182"/>
      <c r="W307" s="182"/>
      <c r="X307" s="182"/>
      <c r="Y307" s="182"/>
    </row>
    <row r="308" spans="1:25" ht="15.75" hidden="1" customHeight="1" x14ac:dyDescent="0.2">
      <c r="A308" s="182"/>
      <c r="B308" s="175"/>
      <c r="C308" s="176"/>
      <c r="D308" s="176"/>
      <c r="E308" s="176"/>
      <c r="F308" s="123"/>
      <c r="G308" s="123"/>
      <c r="H308" s="123"/>
      <c r="I308" s="123"/>
      <c r="J308" s="174"/>
      <c r="K308" s="182"/>
      <c r="L308" s="182"/>
      <c r="M308" s="182"/>
      <c r="N308" s="182"/>
      <c r="O308" s="182"/>
      <c r="P308" s="182"/>
      <c r="Q308" s="182"/>
      <c r="R308" s="182"/>
      <c r="S308" s="182"/>
      <c r="T308" s="182"/>
      <c r="U308" s="182"/>
      <c r="V308" s="182"/>
      <c r="W308" s="182"/>
      <c r="X308" s="182"/>
      <c r="Y308" s="182"/>
    </row>
    <row r="309" spans="1:25" ht="15.75" hidden="1" customHeight="1" x14ac:dyDescent="0.2">
      <c r="A309" s="182"/>
      <c r="B309" s="175"/>
      <c r="C309" s="176"/>
      <c r="D309" s="176"/>
      <c r="E309" s="176"/>
      <c r="F309" s="123"/>
      <c r="G309" s="123"/>
      <c r="H309" s="123"/>
      <c r="I309" s="123"/>
      <c r="J309" s="174"/>
      <c r="K309" s="182"/>
      <c r="L309" s="182"/>
      <c r="M309" s="182"/>
      <c r="N309" s="182"/>
      <c r="O309" s="182"/>
      <c r="P309" s="182"/>
      <c r="Q309" s="182"/>
      <c r="R309" s="182"/>
      <c r="S309" s="182"/>
      <c r="T309" s="182"/>
      <c r="U309" s="182"/>
      <c r="V309" s="182"/>
      <c r="W309" s="182"/>
      <c r="X309" s="182"/>
      <c r="Y309" s="182"/>
    </row>
    <row r="310" spans="1:25" ht="15.75" hidden="1" customHeight="1" x14ac:dyDescent="0.2">
      <c r="A310" s="182"/>
      <c r="B310" s="175"/>
      <c r="C310" s="176"/>
      <c r="D310" s="176"/>
      <c r="E310" s="176"/>
      <c r="F310" s="123"/>
      <c r="G310" s="123"/>
      <c r="H310" s="123"/>
      <c r="I310" s="123"/>
      <c r="J310" s="174"/>
      <c r="K310" s="182"/>
      <c r="L310" s="182"/>
      <c r="M310" s="182"/>
      <c r="N310" s="182"/>
      <c r="O310" s="182"/>
      <c r="P310" s="182"/>
      <c r="Q310" s="182"/>
      <c r="R310" s="182"/>
      <c r="S310" s="182"/>
      <c r="T310" s="182"/>
      <c r="U310" s="182"/>
      <c r="V310" s="182"/>
      <c r="W310" s="182"/>
      <c r="X310" s="182"/>
      <c r="Y310" s="182"/>
    </row>
    <row r="311" spans="1:25" ht="15.75" hidden="1" customHeight="1" x14ac:dyDescent="0.2">
      <c r="A311" s="182"/>
      <c r="B311" s="175"/>
      <c r="C311" s="176"/>
      <c r="D311" s="176"/>
      <c r="E311" s="176"/>
      <c r="F311" s="123"/>
      <c r="G311" s="123"/>
      <c r="H311" s="123"/>
      <c r="I311" s="123"/>
      <c r="J311" s="174"/>
      <c r="K311" s="182"/>
      <c r="L311" s="182"/>
      <c r="M311" s="182"/>
      <c r="N311" s="182"/>
      <c r="O311" s="182"/>
      <c r="P311" s="182"/>
      <c r="Q311" s="182"/>
      <c r="R311" s="182"/>
      <c r="S311" s="182"/>
      <c r="T311" s="182"/>
      <c r="U311" s="182"/>
      <c r="V311" s="182"/>
      <c r="W311" s="182"/>
      <c r="X311" s="182"/>
      <c r="Y311" s="182"/>
    </row>
    <row r="312" spans="1:25" ht="15.75" hidden="1" customHeight="1" x14ac:dyDescent="0.2">
      <c r="A312" s="182"/>
      <c r="B312" s="175"/>
      <c r="C312" s="176"/>
      <c r="D312" s="176"/>
      <c r="E312" s="176"/>
      <c r="F312" s="123"/>
      <c r="G312" s="123"/>
      <c r="H312" s="123"/>
      <c r="I312" s="123"/>
      <c r="J312" s="174"/>
      <c r="K312" s="182"/>
      <c r="L312" s="182"/>
      <c r="M312" s="182"/>
      <c r="N312" s="182"/>
      <c r="O312" s="182"/>
      <c r="P312" s="182"/>
      <c r="Q312" s="182"/>
      <c r="R312" s="182"/>
      <c r="S312" s="182"/>
      <c r="T312" s="182"/>
      <c r="U312" s="182"/>
      <c r="V312" s="182"/>
      <c r="W312" s="182"/>
      <c r="X312" s="182"/>
      <c r="Y312" s="182"/>
    </row>
    <row r="313" spans="1:25" ht="15.75" hidden="1" customHeight="1" x14ac:dyDescent="0.2">
      <c r="A313" s="182"/>
      <c r="B313" s="175"/>
      <c r="C313" s="176"/>
      <c r="D313" s="176"/>
      <c r="E313" s="176"/>
      <c r="F313" s="123"/>
      <c r="G313" s="123"/>
      <c r="H313" s="123"/>
      <c r="I313" s="123"/>
      <c r="J313" s="174"/>
      <c r="K313" s="182"/>
      <c r="L313" s="182"/>
      <c r="M313" s="182"/>
      <c r="N313" s="182"/>
      <c r="O313" s="182"/>
      <c r="P313" s="182"/>
      <c r="Q313" s="182"/>
      <c r="R313" s="182"/>
      <c r="S313" s="182"/>
      <c r="T313" s="182"/>
      <c r="U313" s="182"/>
      <c r="V313" s="182"/>
      <c r="W313" s="182"/>
      <c r="X313" s="182"/>
      <c r="Y313" s="182"/>
    </row>
    <row r="314" spans="1:25" ht="15.75" hidden="1" customHeight="1" x14ac:dyDescent="0.2">
      <c r="A314" s="182"/>
      <c r="B314" s="175"/>
      <c r="C314" s="176"/>
      <c r="D314" s="176"/>
      <c r="E314" s="176"/>
      <c r="F314" s="123"/>
      <c r="G314" s="123"/>
      <c r="H314" s="123"/>
      <c r="I314" s="123"/>
      <c r="J314" s="174"/>
      <c r="K314" s="182"/>
      <c r="L314" s="182"/>
      <c r="M314" s="182"/>
      <c r="N314" s="182"/>
      <c r="O314" s="182"/>
      <c r="P314" s="182"/>
      <c r="Q314" s="182"/>
      <c r="R314" s="182"/>
      <c r="S314" s="182"/>
      <c r="T314" s="182"/>
      <c r="U314" s="182"/>
      <c r="V314" s="182"/>
      <c r="W314" s="182"/>
      <c r="X314" s="182"/>
      <c r="Y314" s="182"/>
    </row>
    <row r="315" spans="1:25" ht="15.75" hidden="1" customHeight="1" x14ac:dyDescent="0.2">
      <c r="A315" s="182"/>
      <c r="B315" s="175"/>
      <c r="C315" s="176"/>
      <c r="D315" s="176"/>
      <c r="E315" s="176"/>
      <c r="F315" s="123"/>
      <c r="G315" s="123"/>
      <c r="H315" s="123"/>
      <c r="I315" s="123"/>
      <c r="J315" s="174"/>
      <c r="K315" s="182"/>
      <c r="L315" s="182"/>
      <c r="M315" s="182"/>
      <c r="N315" s="182"/>
      <c r="O315" s="182"/>
      <c r="P315" s="182"/>
      <c r="Q315" s="182"/>
      <c r="R315" s="182"/>
      <c r="S315" s="182"/>
      <c r="T315" s="182"/>
      <c r="U315" s="182"/>
      <c r="V315" s="182"/>
      <c r="W315" s="182"/>
      <c r="X315" s="182"/>
      <c r="Y315" s="182"/>
    </row>
    <row r="316" spans="1:25" ht="15.75" hidden="1" customHeight="1" x14ac:dyDescent="0.2">
      <c r="A316" s="182"/>
      <c r="B316" s="175"/>
      <c r="C316" s="176"/>
      <c r="D316" s="176"/>
      <c r="E316" s="176"/>
      <c r="F316" s="123"/>
      <c r="G316" s="123"/>
      <c r="H316" s="123"/>
      <c r="I316" s="123"/>
      <c r="J316" s="174"/>
      <c r="K316" s="182"/>
      <c r="L316" s="182"/>
      <c r="M316" s="182"/>
      <c r="N316" s="182"/>
      <c r="O316" s="182"/>
      <c r="P316" s="182"/>
      <c r="Q316" s="182"/>
      <c r="R316" s="182"/>
      <c r="S316" s="182"/>
      <c r="T316" s="182"/>
      <c r="U316" s="182"/>
      <c r="V316" s="182"/>
      <c r="W316" s="182"/>
      <c r="X316" s="182"/>
      <c r="Y316" s="182"/>
    </row>
    <row r="317" spans="1:25" ht="15.75" hidden="1" customHeight="1" x14ac:dyDescent="0.2">
      <c r="A317" s="182"/>
      <c r="B317" s="175"/>
      <c r="C317" s="176"/>
      <c r="D317" s="176"/>
      <c r="E317" s="176"/>
      <c r="F317" s="123"/>
      <c r="G317" s="123"/>
      <c r="H317" s="123"/>
      <c r="I317" s="123"/>
      <c r="J317" s="174"/>
      <c r="K317" s="182"/>
      <c r="L317" s="182"/>
      <c r="M317" s="182"/>
      <c r="N317" s="182"/>
      <c r="O317" s="182"/>
      <c r="P317" s="182"/>
      <c r="Q317" s="182"/>
      <c r="R317" s="182"/>
      <c r="S317" s="182"/>
      <c r="T317" s="182"/>
      <c r="U317" s="182"/>
      <c r="V317" s="182"/>
      <c r="W317" s="182"/>
      <c r="X317" s="182"/>
      <c r="Y317" s="182"/>
    </row>
    <row r="318" spans="1:25" ht="15.75" hidden="1" customHeight="1" x14ac:dyDescent="0.2">
      <c r="A318" s="182"/>
      <c r="B318" s="175"/>
      <c r="C318" s="176"/>
      <c r="D318" s="176"/>
      <c r="E318" s="176"/>
      <c r="F318" s="123"/>
      <c r="G318" s="123"/>
      <c r="H318" s="123"/>
      <c r="I318" s="123"/>
      <c r="J318" s="174"/>
      <c r="K318" s="182"/>
      <c r="L318" s="182"/>
      <c r="M318" s="182"/>
      <c r="N318" s="182"/>
      <c r="O318" s="182"/>
      <c r="P318" s="182"/>
      <c r="Q318" s="182"/>
      <c r="R318" s="182"/>
      <c r="S318" s="182"/>
      <c r="T318" s="182"/>
      <c r="U318" s="182"/>
      <c r="V318" s="182"/>
      <c r="W318" s="182"/>
      <c r="X318" s="182"/>
      <c r="Y318" s="182"/>
    </row>
    <row r="319" spans="1:25" ht="15.75" hidden="1" customHeight="1" x14ac:dyDescent="0.2">
      <c r="A319" s="182"/>
      <c r="B319" s="175"/>
      <c r="C319" s="176"/>
      <c r="D319" s="176"/>
      <c r="E319" s="176"/>
      <c r="F319" s="123"/>
      <c r="G319" s="123"/>
      <c r="H319" s="123"/>
      <c r="I319" s="123"/>
      <c r="J319" s="174"/>
      <c r="K319" s="182"/>
      <c r="L319" s="182"/>
      <c r="M319" s="182"/>
      <c r="N319" s="182"/>
      <c r="O319" s="182"/>
      <c r="P319" s="182"/>
      <c r="Q319" s="182"/>
      <c r="R319" s="182"/>
      <c r="S319" s="182"/>
      <c r="T319" s="182"/>
      <c r="U319" s="182"/>
      <c r="V319" s="182"/>
      <c r="W319" s="182"/>
      <c r="X319" s="182"/>
      <c r="Y319" s="182"/>
    </row>
    <row r="320" spans="1:25" ht="15.75" hidden="1" customHeight="1" x14ac:dyDescent="0.2">
      <c r="A320" s="182"/>
      <c r="B320" s="175"/>
      <c r="C320" s="176"/>
      <c r="D320" s="176"/>
      <c r="E320" s="176"/>
      <c r="F320" s="123"/>
      <c r="G320" s="123"/>
      <c r="H320" s="123"/>
      <c r="I320" s="123"/>
      <c r="J320" s="174"/>
      <c r="K320" s="182"/>
      <c r="L320" s="182"/>
      <c r="M320" s="182"/>
      <c r="N320" s="182"/>
      <c r="O320" s="182"/>
      <c r="P320" s="182"/>
      <c r="Q320" s="182"/>
      <c r="R320" s="182"/>
      <c r="S320" s="182"/>
      <c r="T320" s="182"/>
      <c r="U320" s="182"/>
      <c r="V320" s="182"/>
      <c r="W320" s="182"/>
      <c r="X320" s="182"/>
      <c r="Y320" s="182"/>
    </row>
    <row r="321" spans="1:25" ht="15.75" hidden="1" customHeight="1" x14ac:dyDescent="0.2">
      <c r="A321" s="182"/>
      <c r="B321" s="175"/>
      <c r="C321" s="176"/>
      <c r="D321" s="176"/>
      <c r="E321" s="176"/>
      <c r="F321" s="123"/>
      <c r="G321" s="123"/>
      <c r="H321" s="123"/>
      <c r="I321" s="123"/>
      <c r="J321" s="174"/>
      <c r="K321" s="182"/>
      <c r="L321" s="182"/>
      <c r="M321" s="182"/>
      <c r="N321" s="182"/>
      <c r="O321" s="182"/>
      <c r="P321" s="182"/>
      <c r="Q321" s="182"/>
      <c r="R321" s="182"/>
      <c r="S321" s="182"/>
      <c r="T321" s="182"/>
      <c r="U321" s="182"/>
      <c r="V321" s="182"/>
      <c r="W321" s="182"/>
      <c r="X321" s="182"/>
      <c r="Y321" s="182"/>
    </row>
    <row r="322" spans="1:25" ht="15.75" hidden="1" customHeight="1" x14ac:dyDescent="0.2">
      <c r="A322" s="182"/>
      <c r="B322" s="175"/>
      <c r="C322" s="176"/>
      <c r="D322" s="176"/>
      <c r="E322" s="176"/>
      <c r="F322" s="123"/>
      <c r="G322" s="123"/>
      <c r="H322" s="123"/>
      <c r="I322" s="123"/>
      <c r="J322" s="174"/>
      <c r="K322" s="182"/>
      <c r="L322" s="182"/>
      <c r="M322" s="182"/>
      <c r="N322" s="182"/>
      <c r="O322" s="182"/>
      <c r="P322" s="182"/>
      <c r="Q322" s="182"/>
      <c r="R322" s="182"/>
      <c r="S322" s="182"/>
      <c r="T322" s="182"/>
      <c r="U322" s="182"/>
      <c r="V322" s="182"/>
      <c r="W322" s="182"/>
      <c r="X322" s="182"/>
      <c r="Y322" s="182"/>
    </row>
    <row r="323" spans="1:25" ht="15.75" hidden="1" customHeight="1" x14ac:dyDescent="0.2">
      <c r="A323" s="182"/>
      <c r="B323" s="175"/>
      <c r="C323" s="176"/>
      <c r="D323" s="176"/>
      <c r="E323" s="176"/>
      <c r="F323" s="123"/>
      <c r="G323" s="123"/>
      <c r="H323" s="123"/>
      <c r="I323" s="123"/>
      <c r="J323" s="174"/>
      <c r="K323" s="182"/>
      <c r="L323" s="182"/>
      <c r="M323" s="182"/>
      <c r="N323" s="182"/>
      <c r="O323" s="182"/>
      <c r="P323" s="182"/>
      <c r="Q323" s="182"/>
      <c r="R323" s="182"/>
      <c r="S323" s="182"/>
      <c r="T323" s="182"/>
      <c r="U323" s="182"/>
      <c r="V323" s="182"/>
      <c r="W323" s="182"/>
      <c r="X323" s="182"/>
      <c r="Y323" s="182"/>
    </row>
    <row r="324" spans="1:25" ht="15.75" hidden="1" customHeight="1" x14ac:dyDescent="0.2">
      <c r="A324" s="182"/>
      <c r="B324" s="175"/>
      <c r="C324" s="176"/>
      <c r="D324" s="176"/>
      <c r="E324" s="176"/>
      <c r="F324" s="123"/>
      <c r="G324" s="123"/>
      <c r="H324" s="123"/>
      <c r="I324" s="123"/>
      <c r="J324" s="174"/>
      <c r="K324" s="182"/>
      <c r="L324" s="182"/>
      <c r="M324" s="182"/>
      <c r="N324" s="182"/>
      <c r="O324" s="182"/>
      <c r="P324" s="182"/>
      <c r="Q324" s="182"/>
      <c r="R324" s="182"/>
      <c r="S324" s="182"/>
      <c r="T324" s="182"/>
      <c r="U324" s="182"/>
      <c r="V324" s="182"/>
      <c r="W324" s="182"/>
      <c r="X324" s="182"/>
      <c r="Y324" s="182"/>
    </row>
    <row r="325" spans="1:25" ht="15.75" hidden="1" customHeight="1" x14ac:dyDescent="0.2">
      <c r="A325" s="182"/>
      <c r="B325" s="175"/>
      <c r="C325" s="176"/>
      <c r="D325" s="176"/>
      <c r="E325" s="176"/>
      <c r="F325" s="123"/>
      <c r="G325" s="123"/>
      <c r="H325" s="123"/>
      <c r="I325" s="123"/>
      <c r="J325" s="174"/>
      <c r="K325" s="182"/>
      <c r="L325" s="182"/>
      <c r="M325" s="182"/>
      <c r="N325" s="182"/>
      <c r="O325" s="182"/>
      <c r="P325" s="182"/>
      <c r="Q325" s="182"/>
      <c r="R325" s="182"/>
      <c r="S325" s="182"/>
      <c r="T325" s="182"/>
      <c r="U325" s="182"/>
      <c r="V325" s="182"/>
      <c r="W325" s="182"/>
      <c r="X325" s="182"/>
      <c r="Y325" s="182"/>
    </row>
    <row r="326" spans="1:25" ht="15.75" hidden="1" customHeight="1" x14ac:dyDescent="0.2">
      <c r="A326" s="182"/>
      <c r="B326" s="175"/>
      <c r="C326" s="176"/>
      <c r="D326" s="176"/>
      <c r="E326" s="176"/>
      <c r="F326" s="123"/>
      <c r="G326" s="123"/>
      <c r="H326" s="123"/>
      <c r="I326" s="123"/>
      <c r="J326" s="174"/>
      <c r="K326" s="182"/>
      <c r="L326" s="182"/>
      <c r="M326" s="182"/>
      <c r="N326" s="182"/>
      <c r="O326" s="182"/>
      <c r="P326" s="182"/>
      <c r="Q326" s="182"/>
      <c r="R326" s="182"/>
      <c r="S326" s="182"/>
      <c r="T326" s="182"/>
      <c r="U326" s="182"/>
      <c r="V326" s="182"/>
      <c r="W326" s="182"/>
      <c r="X326" s="182"/>
      <c r="Y326" s="182"/>
    </row>
    <row r="327" spans="1:25" ht="15.75" hidden="1" customHeight="1" x14ac:dyDescent="0.2">
      <c r="A327" s="182"/>
      <c r="B327" s="175"/>
      <c r="C327" s="176"/>
      <c r="D327" s="176"/>
      <c r="E327" s="176"/>
      <c r="F327" s="123"/>
      <c r="G327" s="123"/>
      <c r="H327" s="123"/>
      <c r="I327" s="123"/>
      <c r="J327" s="174"/>
      <c r="K327" s="182"/>
      <c r="L327" s="182"/>
      <c r="M327" s="182"/>
      <c r="N327" s="182"/>
      <c r="O327" s="182"/>
      <c r="P327" s="182"/>
      <c r="Q327" s="182"/>
      <c r="R327" s="182"/>
      <c r="S327" s="182"/>
      <c r="T327" s="182"/>
      <c r="U327" s="182"/>
      <c r="V327" s="182"/>
      <c r="W327" s="182"/>
      <c r="X327" s="182"/>
      <c r="Y327" s="182"/>
    </row>
    <row r="328" spans="1:25" ht="15.75" hidden="1" customHeight="1" x14ac:dyDescent="0.2">
      <c r="A328" s="182"/>
      <c r="B328" s="175"/>
      <c r="C328" s="176"/>
      <c r="D328" s="176"/>
      <c r="E328" s="176"/>
      <c r="F328" s="123"/>
      <c r="G328" s="123"/>
      <c r="H328" s="123"/>
      <c r="I328" s="123"/>
      <c r="J328" s="174"/>
      <c r="K328" s="182"/>
      <c r="L328" s="182"/>
      <c r="M328" s="182"/>
      <c r="N328" s="182"/>
      <c r="O328" s="182"/>
      <c r="P328" s="182"/>
      <c r="Q328" s="182"/>
      <c r="R328" s="182"/>
      <c r="S328" s="182"/>
      <c r="T328" s="182"/>
      <c r="U328" s="182"/>
      <c r="V328" s="182"/>
      <c r="W328" s="182"/>
      <c r="X328" s="182"/>
      <c r="Y328" s="182"/>
    </row>
    <row r="329" spans="1:25" ht="15.75" hidden="1" customHeight="1" x14ac:dyDescent="0.2">
      <c r="A329" s="182"/>
      <c r="B329" s="175"/>
      <c r="C329" s="176"/>
      <c r="D329" s="176"/>
      <c r="E329" s="176"/>
      <c r="F329" s="123"/>
      <c r="G329" s="123"/>
      <c r="H329" s="123"/>
      <c r="I329" s="123"/>
      <c r="J329" s="174"/>
      <c r="K329" s="182"/>
      <c r="L329" s="182"/>
      <c r="M329" s="182"/>
      <c r="N329" s="182"/>
      <c r="O329" s="182"/>
      <c r="P329" s="182"/>
      <c r="Q329" s="182"/>
      <c r="R329" s="182"/>
      <c r="S329" s="182"/>
      <c r="T329" s="182"/>
      <c r="U329" s="182"/>
      <c r="V329" s="182"/>
      <c r="W329" s="182"/>
      <c r="X329" s="182"/>
      <c r="Y329" s="182"/>
    </row>
    <row r="330" spans="1:25" ht="15.75" hidden="1" customHeight="1" x14ac:dyDescent="0.2">
      <c r="A330" s="182"/>
      <c r="B330" s="175"/>
      <c r="C330" s="176"/>
      <c r="D330" s="176"/>
      <c r="E330" s="176"/>
      <c r="F330" s="123"/>
      <c r="G330" s="123"/>
      <c r="H330" s="123"/>
      <c r="I330" s="123"/>
      <c r="J330" s="174"/>
      <c r="K330" s="182"/>
      <c r="L330" s="182"/>
      <c r="M330" s="182"/>
      <c r="N330" s="182"/>
      <c r="O330" s="182"/>
      <c r="P330" s="182"/>
      <c r="Q330" s="182"/>
      <c r="R330" s="182"/>
      <c r="S330" s="182"/>
      <c r="T330" s="182"/>
      <c r="U330" s="182"/>
      <c r="V330" s="182"/>
      <c r="W330" s="182"/>
      <c r="X330" s="182"/>
      <c r="Y330" s="182"/>
    </row>
    <row r="331" spans="1:25" ht="15.75" hidden="1" customHeight="1" x14ac:dyDescent="0.2">
      <c r="A331" s="182"/>
      <c r="B331" s="175"/>
      <c r="C331" s="176"/>
      <c r="D331" s="176"/>
      <c r="E331" s="176"/>
      <c r="F331" s="123"/>
      <c r="G331" s="123"/>
      <c r="H331" s="123"/>
      <c r="I331" s="123"/>
      <c r="J331" s="174"/>
      <c r="K331" s="182"/>
      <c r="L331" s="182"/>
      <c r="M331" s="182"/>
      <c r="N331" s="182"/>
      <c r="O331" s="182"/>
      <c r="P331" s="182"/>
      <c r="Q331" s="182"/>
      <c r="R331" s="182"/>
      <c r="S331" s="182"/>
      <c r="T331" s="182"/>
      <c r="U331" s="182"/>
      <c r="V331" s="182"/>
      <c r="W331" s="182"/>
      <c r="X331" s="182"/>
      <c r="Y331" s="182"/>
    </row>
    <row r="332" spans="1:25" ht="15.75" hidden="1" customHeight="1" x14ac:dyDescent="0.2">
      <c r="A332" s="182"/>
      <c r="B332" s="175"/>
      <c r="C332" s="176"/>
      <c r="D332" s="176"/>
      <c r="E332" s="176"/>
      <c r="F332" s="123"/>
      <c r="G332" s="123"/>
      <c r="H332" s="123"/>
      <c r="I332" s="123"/>
      <c r="J332" s="174"/>
      <c r="K332" s="182"/>
      <c r="L332" s="182"/>
      <c r="M332" s="182"/>
      <c r="N332" s="182"/>
      <c r="O332" s="182"/>
      <c r="P332" s="182"/>
      <c r="Q332" s="182"/>
      <c r="R332" s="182"/>
      <c r="S332" s="182"/>
      <c r="T332" s="182"/>
      <c r="U332" s="182"/>
      <c r="V332" s="182"/>
      <c r="W332" s="182"/>
      <c r="X332" s="182"/>
      <c r="Y332" s="182"/>
    </row>
    <row r="333" spans="1:25" ht="15.75" hidden="1" customHeight="1" x14ac:dyDescent="0.2">
      <c r="A333" s="182"/>
      <c r="B333" s="175"/>
      <c r="C333" s="176"/>
      <c r="D333" s="176"/>
      <c r="E333" s="176"/>
      <c r="F333" s="123"/>
      <c r="G333" s="123"/>
      <c r="H333" s="123"/>
      <c r="I333" s="123"/>
      <c r="J333" s="174"/>
      <c r="K333" s="182"/>
      <c r="L333" s="182"/>
      <c r="M333" s="182"/>
      <c r="N333" s="182"/>
      <c r="O333" s="182"/>
      <c r="P333" s="182"/>
      <c r="Q333" s="182"/>
      <c r="R333" s="182"/>
      <c r="S333" s="182"/>
      <c r="T333" s="182"/>
      <c r="U333" s="182"/>
      <c r="V333" s="182"/>
      <c r="W333" s="182"/>
      <c r="X333" s="182"/>
      <c r="Y333" s="182"/>
    </row>
    <row r="334" spans="1:25" ht="15.75" hidden="1" customHeight="1" x14ac:dyDescent="0.2">
      <c r="A334" s="182"/>
      <c r="B334" s="175"/>
      <c r="C334" s="176"/>
      <c r="D334" s="176"/>
      <c r="E334" s="176"/>
      <c r="F334" s="123"/>
      <c r="G334" s="123"/>
      <c r="H334" s="123"/>
      <c r="I334" s="123"/>
      <c r="J334" s="174"/>
      <c r="K334" s="182"/>
      <c r="L334" s="182"/>
      <c r="M334" s="182"/>
      <c r="N334" s="182"/>
      <c r="O334" s="182"/>
      <c r="P334" s="182"/>
      <c r="Q334" s="182"/>
      <c r="R334" s="182"/>
      <c r="S334" s="182"/>
      <c r="T334" s="182"/>
      <c r="U334" s="182"/>
      <c r="V334" s="182"/>
      <c r="W334" s="182"/>
      <c r="X334" s="182"/>
      <c r="Y334" s="182"/>
    </row>
    <row r="335" spans="1:25" ht="15.75" hidden="1" customHeight="1" x14ac:dyDescent="0.2">
      <c r="A335" s="182"/>
      <c r="B335" s="175"/>
      <c r="C335" s="176"/>
      <c r="D335" s="176"/>
      <c r="E335" s="176"/>
      <c r="F335" s="123"/>
      <c r="G335" s="123"/>
      <c r="H335" s="123"/>
      <c r="I335" s="123"/>
      <c r="J335" s="174"/>
      <c r="K335" s="182"/>
      <c r="L335" s="182"/>
      <c r="M335" s="182"/>
      <c r="N335" s="182"/>
      <c r="O335" s="182"/>
      <c r="P335" s="182"/>
      <c r="Q335" s="182"/>
      <c r="R335" s="182"/>
      <c r="S335" s="182"/>
      <c r="T335" s="182"/>
      <c r="U335" s="182"/>
      <c r="V335" s="182"/>
      <c r="W335" s="182"/>
      <c r="X335" s="182"/>
      <c r="Y335" s="182"/>
    </row>
    <row r="336" spans="1:25" ht="15.75" hidden="1" customHeight="1" x14ac:dyDescent="0.2">
      <c r="A336" s="182"/>
      <c r="B336" s="175"/>
      <c r="C336" s="176"/>
      <c r="D336" s="176"/>
      <c r="E336" s="176"/>
      <c r="F336" s="123"/>
      <c r="G336" s="123"/>
      <c r="H336" s="123"/>
      <c r="I336" s="123"/>
      <c r="J336" s="174"/>
      <c r="K336" s="182"/>
      <c r="L336" s="182"/>
      <c r="M336" s="182"/>
      <c r="N336" s="182"/>
      <c r="O336" s="182"/>
      <c r="P336" s="182"/>
      <c r="Q336" s="182"/>
      <c r="R336" s="182"/>
      <c r="S336" s="182"/>
      <c r="T336" s="182"/>
      <c r="U336" s="182"/>
      <c r="V336" s="182"/>
      <c r="W336" s="182"/>
      <c r="X336" s="182"/>
      <c r="Y336" s="182"/>
    </row>
    <row r="337" spans="1:25" ht="15.75" hidden="1" customHeight="1" x14ac:dyDescent="0.2">
      <c r="A337" s="182"/>
      <c r="B337" s="175"/>
      <c r="C337" s="176"/>
      <c r="D337" s="176"/>
      <c r="E337" s="176"/>
      <c r="F337" s="123"/>
      <c r="G337" s="123"/>
      <c r="H337" s="123"/>
      <c r="I337" s="123"/>
      <c r="J337" s="174"/>
      <c r="K337" s="182"/>
      <c r="L337" s="182"/>
      <c r="M337" s="182"/>
      <c r="N337" s="182"/>
      <c r="O337" s="182"/>
      <c r="P337" s="182"/>
      <c r="Q337" s="182"/>
      <c r="R337" s="182"/>
      <c r="S337" s="182"/>
      <c r="T337" s="182"/>
      <c r="U337" s="182"/>
      <c r="V337" s="182"/>
      <c r="W337" s="182"/>
      <c r="X337" s="182"/>
      <c r="Y337" s="182"/>
    </row>
    <row r="338" spans="1:25" ht="15.75" hidden="1" customHeight="1" x14ac:dyDescent="0.2">
      <c r="A338" s="182"/>
      <c r="B338" s="175"/>
      <c r="C338" s="176"/>
      <c r="D338" s="176"/>
      <c r="E338" s="176"/>
      <c r="F338" s="123"/>
      <c r="G338" s="123"/>
      <c r="H338" s="123"/>
      <c r="I338" s="123"/>
      <c r="J338" s="174"/>
      <c r="K338" s="182"/>
      <c r="L338" s="182"/>
      <c r="M338" s="182"/>
      <c r="N338" s="182"/>
      <c r="O338" s="182"/>
      <c r="P338" s="182"/>
      <c r="Q338" s="182"/>
      <c r="R338" s="182"/>
      <c r="S338" s="182"/>
      <c r="T338" s="182"/>
      <c r="U338" s="182"/>
      <c r="V338" s="182"/>
      <c r="W338" s="182"/>
      <c r="X338" s="182"/>
      <c r="Y338" s="182"/>
    </row>
    <row r="339" spans="1:25" ht="15.75" hidden="1" customHeight="1" x14ac:dyDescent="0.2">
      <c r="A339" s="182"/>
      <c r="B339" s="175"/>
      <c r="C339" s="176"/>
      <c r="D339" s="176"/>
      <c r="E339" s="176"/>
      <c r="F339" s="123"/>
      <c r="G339" s="123"/>
      <c r="H339" s="123"/>
      <c r="I339" s="123"/>
      <c r="J339" s="174"/>
      <c r="K339" s="182"/>
      <c r="L339" s="182"/>
      <c r="M339" s="182"/>
      <c r="N339" s="182"/>
      <c r="O339" s="182"/>
      <c r="P339" s="182"/>
      <c r="Q339" s="182"/>
      <c r="R339" s="182"/>
      <c r="S339" s="182"/>
      <c r="T339" s="182"/>
      <c r="U339" s="182"/>
      <c r="V339" s="182"/>
      <c r="W339" s="182"/>
      <c r="X339" s="182"/>
      <c r="Y339" s="182"/>
    </row>
    <row r="340" spans="1:25" ht="15.75" hidden="1" customHeight="1" x14ac:dyDescent="0.2">
      <c r="A340" s="182"/>
      <c r="B340" s="175"/>
      <c r="C340" s="176"/>
      <c r="D340" s="176"/>
      <c r="E340" s="176"/>
      <c r="F340" s="123"/>
      <c r="G340" s="123"/>
      <c r="H340" s="123"/>
      <c r="I340" s="123"/>
      <c r="J340" s="174"/>
      <c r="K340" s="182"/>
      <c r="L340" s="182"/>
      <c r="M340" s="182"/>
      <c r="N340" s="182"/>
      <c r="O340" s="182"/>
      <c r="P340" s="182"/>
      <c r="Q340" s="182"/>
      <c r="R340" s="182"/>
      <c r="S340" s="182"/>
      <c r="T340" s="182"/>
      <c r="U340" s="182"/>
      <c r="V340" s="182"/>
      <c r="W340" s="182"/>
      <c r="X340" s="182"/>
      <c r="Y340" s="182"/>
    </row>
    <row r="341" spans="1:25" ht="15.75" hidden="1" customHeight="1" x14ac:dyDescent="0.2">
      <c r="A341" s="182"/>
      <c r="B341" s="175"/>
      <c r="C341" s="176"/>
      <c r="D341" s="176"/>
      <c r="E341" s="176"/>
      <c r="F341" s="123"/>
      <c r="G341" s="123"/>
      <c r="H341" s="123"/>
      <c r="I341" s="123"/>
      <c r="J341" s="174"/>
      <c r="K341" s="182"/>
      <c r="L341" s="182"/>
      <c r="M341" s="182"/>
      <c r="N341" s="182"/>
      <c r="O341" s="182"/>
      <c r="P341" s="182"/>
      <c r="Q341" s="182"/>
      <c r="R341" s="182"/>
      <c r="S341" s="182"/>
      <c r="T341" s="182"/>
      <c r="U341" s="182"/>
      <c r="V341" s="182"/>
      <c r="W341" s="182"/>
      <c r="X341" s="182"/>
      <c r="Y341" s="182"/>
    </row>
    <row r="342" spans="1:25" ht="15.75" hidden="1" customHeight="1" x14ac:dyDescent="0.2">
      <c r="A342" s="182"/>
      <c r="B342" s="175"/>
      <c r="C342" s="176"/>
      <c r="D342" s="176"/>
      <c r="E342" s="176"/>
      <c r="F342" s="123"/>
      <c r="G342" s="123"/>
      <c r="H342" s="123"/>
      <c r="I342" s="123"/>
      <c r="J342" s="174"/>
      <c r="K342" s="182"/>
      <c r="L342" s="182"/>
      <c r="M342" s="182"/>
      <c r="N342" s="182"/>
      <c r="O342" s="182"/>
      <c r="P342" s="182"/>
      <c r="Q342" s="182"/>
      <c r="R342" s="182"/>
      <c r="S342" s="182"/>
      <c r="T342" s="182"/>
      <c r="U342" s="182"/>
      <c r="V342" s="182"/>
      <c r="W342" s="182"/>
      <c r="X342" s="182"/>
      <c r="Y342" s="182"/>
    </row>
    <row r="343" spans="1:25" ht="15.75" hidden="1" customHeight="1" x14ac:dyDescent="0.2">
      <c r="A343" s="182"/>
      <c r="B343" s="175"/>
      <c r="C343" s="176"/>
      <c r="D343" s="176"/>
      <c r="E343" s="176"/>
      <c r="F343" s="123"/>
      <c r="G343" s="123"/>
      <c r="H343" s="123"/>
      <c r="I343" s="123"/>
      <c r="J343" s="174"/>
      <c r="K343" s="182"/>
      <c r="L343" s="182"/>
      <c r="M343" s="182"/>
      <c r="N343" s="182"/>
      <c r="O343" s="182"/>
      <c r="P343" s="182"/>
      <c r="Q343" s="182"/>
      <c r="R343" s="182"/>
      <c r="S343" s="182"/>
      <c r="T343" s="182"/>
      <c r="U343" s="182"/>
      <c r="V343" s="182"/>
      <c r="W343" s="182"/>
      <c r="X343" s="182"/>
      <c r="Y343" s="182"/>
    </row>
    <row r="344" spans="1:25" ht="15.75" hidden="1" customHeight="1" x14ac:dyDescent="0.2">
      <c r="A344" s="182"/>
      <c r="B344" s="175"/>
      <c r="C344" s="176"/>
      <c r="D344" s="176"/>
      <c r="E344" s="176"/>
      <c r="F344" s="123"/>
      <c r="G344" s="123"/>
      <c r="H344" s="123"/>
      <c r="I344" s="123"/>
      <c r="J344" s="174"/>
      <c r="K344" s="182"/>
      <c r="L344" s="182"/>
      <c r="M344" s="182"/>
      <c r="N344" s="182"/>
      <c r="O344" s="182"/>
      <c r="P344" s="182"/>
      <c r="Q344" s="182"/>
      <c r="R344" s="182"/>
      <c r="S344" s="182"/>
      <c r="T344" s="182"/>
      <c r="U344" s="182"/>
      <c r="V344" s="182"/>
      <c r="W344" s="182"/>
      <c r="X344" s="182"/>
      <c r="Y344" s="182"/>
    </row>
    <row r="345" spans="1:25" ht="15.75" hidden="1" customHeight="1" x14ac:dyDescent="0.2">
      <c r="A345" s="182"/>
      <c r="B345" s="175"/>
      <c r="C345" s="176"/>
      <c r="D345" s="176"/>
      <c r="E345" s="176"/>
      <c r="F345" s="123"/>
      <c r="G345" s="123"/>
      <c r="H345" s="123"/>
      <c r="I345" s="123"/>
      <c r="J345" s="174"/>
      <c r="K345" s="182"/>
      <c r="L345" s="182"/>
      <c r="M345" s="182"/>
      <c r="N345" s="182"/>
      <c r="O345" s="182"/>
      <c r="P345" s="182"/>
      <c r="Q345" s="182"/>
      <c r="R345" s="182"/>
      <c r="S345" s="182"/>
      <c r="T345" s="182"/>
      <c r="U345" s="182"/>
      <c r="V345" s="182"/>
      <c r="W345" s="182"/>
      <c r="X345" s="182"/>
      <c r="Y345" s="182"/>
    </row>
    <row r="346" spans="1:25" ht="15.75" hidden="1" customHeight="1" x14ac:dyDescent="0.2">
      <c r="A346" s="182"/>
      <c r="B346" s="175"/>
      <c r="C346" s="176"/>
      <c r="D346" s="176"/>
      <c r="E346" s="176"/>
      <c r="F346" s="123"/>
      <c r="G346" s="123"/>
      <c r="H346" s="123"/>
      <c r="I346" s="123"/>
      <c r="J346" s="174"/>
      <c r="K346" s="182"/>
      <c r="L346" s="182"/>
      <c r="M346" s="182"/>
      <c r="N346" s="182"/>
      <c r="O346" s="182"/>
      <c r="P346" s="182"/>
      <c r="Q346" s="182"/>
      <c r="R346" s="182"/>
      <c r="S346" s="182"/>
      <c r="T346" s="182"/>
      <c r="U346" s="182"/>
      <c r="V346" s="182"/>
      <c r="W346" s="182"/>
      <c r="X346" s="182"/>
      <c r="Y346" s="182"/>
    </row>
    <row r="347" spans="1:25" ht="15.75" hidden="1" customHeight="1" x14ac:dyDescent="0.2">
      <c r="A347" s="182"/>
      <c r="B347" s="175"/>
      <c r="C347" s="176"/>
      <c r="D347" s="176"/>
      <c r="E347" s="176"/>
      <c r="F347" s="123"/>
      <c r="G347" s="123"/>
      <c r="H347" s="123"/>
      <c r="I347" s="123"/>
      <c r="J347" s="174"/>
      <c r="K347" s="182"/>
      <c r="L347" s="182"/>
      <c r="M347" s="182"/>
      <c r="N347" s="182"/>
      <c r="O347" s="182"/>
      <c r="P347" s="182"/>
      <c r="Q347" s="182"/>
      <c r="R347" s="182"/>
      <c r="S347" s="182"/>
      <c r="T347" s="182"/>
      <c r="U347" s="182"/>
      <c r="V347" s="182"/>
      <c r="W347" s="182"/>
      <c r="X347" s="182"/>
      <c r="Y347" s="182"/>
    </row>
    <row r="348" spans="1:25" ht="15.75" hidden="1" customHeight="1" x14ac:dyDescent="0.2">
      <c r="A348" s="182"/>
      <c r="B348" s="175"/>
      <c r="C348" s="176"/>
      <c r="D348" s="176"/>
      <c r="E348" s="176"/>
      <c r="F348" s="123"/>
      <c r="G348" s="123"/>
      <c r="H348" s="123"/>
      <c r="I348" s="123"/>
      <c r="J348" s="174"/>
      <c r="K348" s="182"/>
      <c r="L348" s="182"/>
      <c r="M348" s="182"/>
      <c r="N348" s="182"/>
      <c r="O348" s="182"/>
      <c r="P348" s="182"/>
      <c r="Q348" s="182"/>
      <c r="R348" s="182"/>
      <c r="S348" s="182"/>
      <c r="T348" s="182"/>
      <c r="U348" s="182"/>
      <c r="V348" s="182"/>
      <c r="W348" s="182"/>
      <c r="X348" s="182"/>
      <c r="Y348" s="182"/>
    </row>
    <row r="349" spans="1:25" ht="15.75" hidden="1" customHeight="1" x14ac:dyDescent="0.2">
      <c r="A349" s="182"/>
      <c r="B349" s="175"/>
      <c r="C349" s="176"/>
      <c r="D349" s="176"/>
      <c r="E349" s="176"/>
      <c r="F349" s="123"/>
      <c r="G349" s="123"/>
      <c r="H349" s="123"/>
      <c r="I349" s="123"/>
      <c r="J349" s="174"/>
      <c r="K349" s="182"/>
      <c r="L349" s="182"/>
      <c r="M349" s="182"/>
      <c r="N349" s="182"/>
      <c r="O349" s="182"/>
      <c r="P349" s="182"/>
      <c r="Q349" s="182"/>
      <c r="R349" s="182"/>
      <c r="S349" s="182"/>
      <c r="T349" s="182"/>
      <c r="U349" s="182"/>
      <c r="V349" s="182"/>
      <c r="W349" s="182"/>
      <c r="X349" s="182"/>
      <c r="Y349" s="182"/>
    </row>
    <row r="350" spans="1:25" ht="15.75" hidden="1" customHeight="1" x14ac:dyDescent="0.2">
      <c r="A350" s="182"/>
      <c r="B350" s="175"/>
      <c r="C350" s="176"/>
      <c r="D350" s="176"/>
      <c r="E350" s="176"/>
      <c r="F350" s="123"/>
      <c r="G350" s="123"/>
      <c r="H350" s="123"/>
      <c r="I350" s="123"/>
      <c r="J350" s="174"/>
      <c r="K350" s="182"/>
      <c r="L350" s="182"/>
      <c r="M350" s="182"/>
      <c r="N350" s="182"/>
      <c r="O350" s="182"/>
      <c r="P350" s="182"/>
      <c r="Q350" s="182"/>
      <c r="R350" s="182"/>
      <c r="S350" s="182"/>
      <c r="T350" s="182"/>
      <c r="U350" s="182"/>
      <c r="V350" s="182"/>
      <c r="W350" s="182"/>
      <c r="X350" s="182"/>
      <c r="Y350" s="182"/>
    </row>
    <row r="351" spans="1:25" ht="15.75" hidden="1" customHeight="1" x14ac:dyDescent="0.2">
      <c r="A351" s="182"/>
      <c r="B351" s="175"/>
      <c r="C351" s="176"/>
      <c r="D351" s="176"/>
      <c r="E351" s="176"/>
      <c r="F351" s="123"/>
      <c r="G351" s="123"/>
      <c r="H351" s="123"/>
      <c r="I351" s="123"/>
      <c r="J351" s="174"/>
      <c r="K351" s="182"/>
      <c r="L351" s="182"/>
      <c r="M351" s="182"/>
      <c r="N351" s="182"/>
      <c r="O351" s="182"/>
      <c r="P351" s="182"/>
      <c r="Q351" s="182"/>
      <c r="R351" s="182"/>
      <c r="S351" s="182"/>
      <c r="T351" s="182"/>
      <c r="U351" s="182"/>
      <c r="V351" s="182"/>
      <c r="W351" s="182"/>
      <c r="X351" s="182"/>
      <c r="Y351" s="182"/>
    </row>
    <row r="352" spans="1:25" ht="15.75" hidden="1" customHeight="1" x14ac:dyDescent="0.2">
      <c r="A352" s="182"/>
      <c r="B352" s="175"/>
      <c r="C352" s="176"/>
      <c r="D352" s="176"/>
      <c r="E352" s="176"/>
      <c r="F352" s="123"/>
      <c r="G352" s="123"/>
      <c r="H352" s="123"/>
      <c r="I352" s="123"/>
      <c r="J352" s="174"/>
      <c r="K352" s="182"/>
      <c r="L352" s="182"/>
      <c r="M352" s="182"/>
      <c r="N352" s="182"/>
      <c r="O352" s="182"/>
      <c r="P352" s="182"/>
      <c r="Q352" s="182"/>
      <c r="R352" s="182"/>
      <c r="S352" s="182"/>
      <c r="T352" s="182"/>
      <c r="U352" s="182"/>
      <c r="V352" s="182"/>
      <c r="W352" s="182"/>
      <c r="X352" s="182"/>
      <c r="Y352" s="182"/>
    </row>
    <row r="353" spans="1:25" ht="15.75" hidden="1" customHeight="1" x14ac:dyDescent="0.2">
      <c r="A353" s="182"/>
      <c r="B353" s="175"/>
      <c r="C353" s="176"/>
      <c r="D353" s="176"/>
      <c r="E353" s="176"/>
      <c r="F353" s="123"/>
      <c r="G353" s="123"/>
      <c r="H353" s="123"/>
      <c r="I353" s="123"/>
      <c r="J353" s="174"/>
      <c r="K353" s="182"/>
      <c r="L353" s="182"/>
      <c r="M353" s="182"/>
      <c r="N353" s="182"/>
      <c r="O353" s="182"/>
      <c r="P353" s="182"/>
      <c r="Q353" s="182"/>
      <c r="R353" s="182"/>
      <c r="S353" s="182"/>
      <c r="T353" s="182"/>
      <c r="U353" s="182"/>
      <c r="V353" s="182"/>
      <c r="W353" s="182"/>
      <c r="X353" s="182"/>
      <c r="Y353" s="182"/>
    </row>
    <row r="354" spans="1:25" ht="15.75" hidden="1" customHeight="1" x14ac:dyDescent="0.2">
      <c r="A354" s="182"/>
      <c r="B354" s="175"/>
      <c r="C354" s="176"/>
      <c r="D354" s="176"/>
      <c r="E354" s="176"/>
      <c r="F354" s="123"/>
      <c r="G354" s="123"/>
      <c r="H354" s="123"/>
      <c r="I354" s="123"/>
      <c r="J354" s="174"/>
      <c r="K354" s="182"/>
      <c r="L354" s="182"/>
      <c r="M354" s="182"/>
      <c r="N354" s="182"/>
      <c r="O354" s="182"/>
      <c r="P354" s="182"/>
      <c r="Q354" s="182"/>
      <c r="R354" s="182"/>
      <c r="S354" s="182"/>
      <c r="T354" s="182"/>
      <c r="U354" s="182"/>
      <c r="V354" s="182"/>
      <c r="W354" s="182"/>
      <c r="X354" s="182"/>
      <c r="Y354" s="182"/>
    </row>
    <row r="355" spans="1:25" ht="15.75" hidden="1" customHeight="1" x14ac:dyDescent="0.2">
      <c r="A355" s="182"/>
      <c r="B355" s="175"/>
      <c r="C355" s="176"/>
      <c r="D355" s="176"/>
      <c r="E355" s="176"/>
      <c r="F355" s="123"/>
      <c r="G355" s="123"/>
      <c r="H355" s="123"/>
      <c r="I355" s="123"/>
      <c r="J355" s="174"/>
      <c r="K355" s="182"/>
      <c r="L355" s="182"/>
      <c r="M355" s="182"/>
      <c r="N355" s="182"/>
      <c r="O355" s="182"/>
      <c r="P355" s="182"/>
      <c r="Q355" s="182"/>
      <c r="R355" s="182"/>
      <c r="S355" s="182"/>
      <c r="T355" s="182"/>
      <c r="U355" s="182"/>
      <c r="V355" s="182"/>
      <c r="W355" s="182"/>
      <c r="X355" s="182"/>
      <c r="Y355" s="182"/>
    </row>
    <row r="356" spans="1:25" ht="15.75" hidden="1" customHeight="1" x14ac:dyDescent="0.2">
      <c r="A356" s="182"/>
      <c r="B356" s="175"/>
      <c r="C356" s="176"/>
      <c r="D356" s="176"/>
      <c r="E356" s="176"/>
      <c r="F356" s="123"/>
      <c r="G356" s="123"/>
      <c r="H356" s="123"/>
      <c r="I356" s="123"/>
      <c r="J356" s="174"/>
      <c r="K356" s="182"/>
      <c r="L356" s="182"/>
      <c r="M356" s="182"/>
      <c r="N356" s="182"/>
      <c r="O356" s="182"/>
      <c r="P356" s="182"/>
      <c r="Q356" s="182"/>
      <c r="R356" s="182"/>
      <c r="S356" s="182"/>
      <c r="T356" s="182"/>
      <c r="U356" s="182"/>
      <c r="V356" s="182"/>
      <c r="W356" s="182"/>
      <c r="X356" s="182"/>
      <c r="Y356" s="182"/>
    </row>
    <row r="357" spans="1:25" ht="15.75" hidden="1" customHeight="1" x14ac:dyDescent="0.2">
      <c r="A357" s="182"/>
      <c r="B357" s="175"/>
      <c r="C357" s="176"/>
      <c r="D357" s="176"/>
      <c r="E357" s="176"/>
      <c r="F357" s="123"/>
      <c r="G357" s="123"/>
      <c r="H357" s="123"/>
      <c r="I357" s="123"/>
      <c r="J357" s="174"/>
      <c r="K357" s="182"/>
      <c r="L357" s="182"/>
      <c r="M357" s="182"/>
      <c r="N357" s="182"/>
      <c r="O357" s="182"/>
      <c r="P357" s="182"/>
      <c r="Q357" s="182"/>
      <c r="R357" s="182"/>
      <c r="S357" s="182"/>
      <c r="T357" s="182"/>
      <c r="U357" s="182"/>
      <c r="V357" s="182"/>
      <c r="W357" s="182"/>
      <c r="X357" s="182"/>
      <c r="Y357" s="182"/>
    </row>
    <row r="358" spans="1:25" ht="15.75" hidden="1" customHeight="1" x14ac:dyDescent="0.2">
      <c r="A358" s="182"/>
      <c r="B358" s="175"/>
      <c r="C358" s="176"/>
      <c r="D358" s="176"/>
      <c r="E358" s="176"/>
      <c r="F358" s="123"/>
      <c r="G358" s="123"/>
      <c r="H358" s="123"/>
      <c r="I358" s="123"/>
      <c r="J358" s="174"/>
      <c r="K358" s="182"/>
      <c r="L358" s="182"/>
      <c r="M358" s="182"/>
      <c r="N358" s="182"/>
      <c r="O358" s="182"/>
      <c r="P358" s="182"/>
      <c r="Q358" s="182"/>
      <c r="R358" s="182"/>
      <c r="S358" s="182"/>
      <c r="T358" s="182"/>
      <c r="U358" s="182"/>
      <c r="V358" s="182"/>
      <c r="W358" s="182"/>
      <c r="X358" s="182"/>
      <c r="Y358" s="182"/>
    </row>
    <row r="359" spans="1:25" ht="15.75" hidden="1" customHeight="1" x14ac:dyDescent="0.2">
      <c r="A359" s="182"/>
      <c r="B359" s="175"/>
      <c r="C359" s="176"/>
      <c r="D359" s="176"/>
      <c r="E359" s="176"/>
      <c r="F359" s="123"/>
      <c r="G359" s="123"/>
      <c r="H359" s="123"/>
      <c r="I359" s="123"/>
      <c r="J359" s="174"/>
      <c r="K359" s="182"/>
      <c r="L359" s="182"/>
      <c r="M359" s="182"/>
      <c r="N359" s="182"/>
      <c r="O359" s="182"/>
      <c r="P359" s="182"/>
      <c r="Q359" s="182"/>
      <c r="R359" s="182"/>
      <c r="S359" s="182"/>
      <c r="T359" s="182"/>
      <c r="U359" s="182"/>
      <c r="V359" s="182"/>
      <c r="W359" s="182"/>
      <c r="X359" s="182"/>
      <c r="Y359" s="182"/>
    </row>
    <row r="360" spans="1:25" ht="15.75" hidden="1" customHeight="1" x14ac:dyDescent="0.2">
      <c r="A360" s="182"/>
      <c r="B360" s="175"/>
      <c r="C360" s="176"/>
      <c r="D360" s="176"/>
      <c r="E360" s="176"/>
      <c r="F360" s="123"/>
      <c r="G360" s="123"/>
      <c r="H360" s="123"/>
      <c r="I360" s="123"/>
      <c r="J360" s="174"/>
      <c r="K360" s="182"/>
      <c r="L360" s="182"/>
      <c r="M360" s="182"/>
      <c r="N360" s="182"/>
      <c r="O360" s="182"/>
      <c r="P360" s="182"/>
      <c r="Q360" s="182"/>
      <c r="R360" s="182"/>
      <c r="S360" s="182"/>
      <c r="T360" s="182"/>
      <c r="U360" s="182"/>
      <c r="V360" s="182"/>
      <c r="W360" s="182"/>
      <c r="X360" s="182"/>
      <c r="Y360" s="182"/>
    </row>
    <row r="361" spans="1:25" ht="15.75" hidden="1" customHeight="1" x14ac:dyDescent="0.2">
      <c r="A361" s="182"/>
      <c r="B361" s="175"/>
      <c r="C361" s="176"/>
      <c r="D361" s="176"/>
      <c r="E361" s="176"/>
      <c r="F361" s="123"/>
      <c r="G361" s="123"/>
      <c r="H361" s="123"/>
      <c r="I361" s="123"/>
      <c r="J361" s="174"/>
      <c r="K361" s="182"/>
      <c r="L361" s="182"/>
      <c r="M361" s="182"/>
      <c r="N361" s="182"/>
      <c r="O361" s="182"/>
      <c r="P361" s="182"/>
      <c r="Q361" s="182"/>
      <c r="R361" s="182"/>
      <c r="S361" s="182"/>
      <c r="T361" s="182"/>
      <c r="U361" s="182"/>
      <c r="V361" s="182"/>
      <c r="W361" s="182"/>
      <c r="X361" s="182"/>
      <c r="Y361" s="182"/>
    </row>
    <row r="362" spans="1:25" ht="15.75" hidden="1" customHeight="1" x14ac:dyDescent="0.2">
      <c r="A362" s="182"/>
      <c r="B362" s="175"/>
      <c r="C362" s="176"/>
      <c r="D362" s="176"/>
      <c r="E362" s="176"/>
      <c r="F362" s="123"/>
      <c r="G362" s="123"/>
      <c r="H362" s="123"/>
      <c r="I362" s="123"/>
      <c r="J362" s="174"/>
      <c r="K362" s="182"/>
      <c r="L362" s="182"/>
      <c r="M362" s="182"/>
      <c r="N362" s="182"/>
      <c r="O362" s="182"/>
      <c r="P362" s="182"/>
      <c r="Q362" s="182"/>
      <c r="R362" s="182"/>
      <c r="S362" s="182"/>
      <c r="T362" s="182"/>
      <c r="U362" s="182"/>
      <c r="V362" s="182"/>
      <c r="W362" s="182"/>
      <c r="X362" s="182"/>
      <c r="Y362" s="182"/>
    </row>
    <row r="363" spans="1:25" ht="15.75" hidden="1" customHeight="1" x14ac:dyDescent="0.2">
      <c r="A363" s="182"/>
      <c r="B363" s="175"/>
      <c r="C363" s="176"/>
      <c r="D363" s="176"/>
      <c r="E363" s="176"/>
      <c r="F363" s="123"/>
      <c r="G363" s="123"/>
      <c r="H363" s="123"/>
      <c r="I363" s="123"/>
      <c r="J363" s="174"/>
      <c r="K363" s="182"/>
      <c r="L363" s="182"/>
      <c r="M363" s="182"/>
      <c r="N363" s="182"/>
      <c r="O363" s="182"/>
      <c r="P363" s="182"/>
      <c r="Q363" s="182"/>
      <c r="R363" s="182"/>
      <c r="S363" s="182"/>
      <c r="T363" s="182"/>
      <c r="U363" s="182"/>
      <c r="V363" s="182"/>
      <c r="W363" s="182"/>
      <c r="X363" s="182"/>
      <c r="Y363" s="182"/>
    </row>
    <row r="364" spans="1:25" ht="15.75" hidden="1" customHeight="1" x14ac:dyDescent="0.2">
      <c r="A364" s="182"/>
      <c r="B364" s="175"/>
      <c r="C364" s="176"/>
      <c r="D364" s="176"/>
      <c r="E364" s="176"/>
      <c r="F364" s="123"/>
      <c r="G364" s="123"/>
      <c r="H364" s="123"/>
      <c r="I364" s="123"/>
      <c r="J364" s="174"/>
      <c r="K364" s="182"/>
      <c r="L364" s="182"/>
      <c r="M364" s="182"/>
      <c r="N364" s="182"/>
      <c r="O364" s="182"/>
      <c r="P364" s="182"/>
      <c r="Q364" s="182"/>
      <c r="R364" s="182"/>
      <c r="S364" s="182"/>
      <c r="T364" s="182"/>
      <c r="U364" s="182"/>
      <c r="V364" s="182"/>
      <c r="W364" s="182"/>
      <c r="X364" s="182"/>
      <c r="Y364" s="182"/>
    </row>
    <row r="365" spans="1:25" ht="15.75" hidden="1" customHeight="1" x14ac:dyDescent="0.2">
      <c r="A365" s="182"/>
      <c r="B365" s="175"/>
      <c r="C365" s="176"/>
      <c r="D365" s="176"/>
      <c r="E365" s="176"/>
      <c r="F365" s="123"/>
      <c r="G365" s="123"/>
      <c r="H365" s="123"/>
      <c r="I365" s="123"/>
      <c r="J365" s="174"/>
      <c r="K365" s="182"/>
      <c r="L365" s="182"/>
      <c r="M365" s="182"/>
      <c r="N365" s="182"/>
      <c r="O365" s="182"/>
      <c r="P365" s="182"/>
      <c r="Q365" s="182"/>
      <c r="R365" s="182"/>
      <c r="S365" s="182"/>
      <c r="T365" s="182"/>
      <c r="U365" s="182"/>
      <c r="V365" s="182"/>
      <c r="W365" s="182"/>
      <c r="X365" s="182"/>
      <c r="Y365" s="182"/>
    </row>
    <row r="366" spans="1:25" ht="15.75" hidden="1" customHeight="1" x14ac:dyDescent="0.2">
      <c r="A366" s="182"/>
      <c r="B366" s="175"/>
      <c r="C366" s="176"/>
      <c r="D366" s="176"/>
      <c r="E366" s="176"/>
      <c r="F366" s="123"/>
      <c r="G366" s="123"/>
      <c r="H366" s="123"/>
      <c r="I366" s="123"/>
      <c r="J366" s="174"/>
      <c r="K366" s="182"/>
      <c r="L366" s="182"/>
      <c r="M366" s="182"/>
      <c r="N366" s="182"/>
      <c r="O366" s="182"/>
      <c r="P366" s="182"/>
      <c r="Q366" s="182"/>
      <c r="R366" s="182"/>
      <c r="S366" s="182"/>
      <c r="T366" s="182"/>
      <c r="U366" s="182"/>
      <c r="V366" s="182"/>
      <c r="W366" s="182"/>
      <c r="X366" s="182"/>
      <c r="Y366" s="182"/>
    </row>
    <row r="367" spans="1:25" ht="15.75" hidden="1" customHeight="1" x14ac:dyDescent="0.2">
      <c r="A367" s="182"/>
      <c r="B367" s="175"/>
      <c r="C367" s="176"/>
      <c r="D367" s="176"/>
      <c r="E367" s="176"/>
      <c r="F367" s="123"/>
      <c r="G367" s="123"/>
      <c r="H367" s="123"/>
      <c r="I367" s="123"/>
      <c r="J367" s="174"/>
      <c r="K367" s="182"/>
      <c r="L367" s="182"/>
      <c r="M367" s="182"/>
      <c r="N367" s="182"/>
      <c r="O367" s="182"/>
      <c r="P367" s="182"/>
      <c r="Q367" s="182"/>
      <c r="R367" s="182"/>
      <c r="S367" s="182"/>
      <c r="T367" s="182"/>
      <c r="U367" s="182"/>
      <c r="V367" s="182"/>
      <c r="W367" s="182"/>
      <c r="X367" s="182"/>
      <c r="Y367" s="182"/>
    </row>
    <row r="368" spans="1:25" ht="15.75" hidden="1" customHeight="1" x14ac:dyDescent="0.2">
      <c r="A368" s="182"/>
      <c r="B368" s="175"/>
      <c r="C368" s="176"/>
      <c r="D368" s="176"/>
      <c r="E368" s="176"/>
      <c r="F368" s="123"/>
      <c r="G368" s="123"/>
      <c r="H368" s="123"/>
      <c r="I368" s="123"/>
      <c r="J368" s="174"/>
      <c r="K368" s="182"/>
      <c r="L368" s="182"/>
      <c r="M368" s="182"/>
      <c r="N368" s="182"/>
      <c r="O368" s="182"/>
      <c r="P368" s="182"/>
      <c r="Q368" s="182"/>
      <c r="R368" s="182"/>
      <c r="S368" s="182"/>
      <c r="T368" s="182"/>
      <c r="U368" s="182"/>
      <c r="V368" s="182"/>
      <c r="W368" s="182"/>
      <c r="X368" s="182"/>
      <c r="Y368" s="182"/>
    </row>
    <row r="369" spans="1:25" ht="15.75" hidden="1" customHeight="1" x14ac:dyDescent="0.2">
      <c r="A369" s="182"/>
      <c r="B369" s="175"/>
      <c r="C369" s="176"/>
      <c r="D369" s="176"/>
      <c r="E369" s="176"/>
      <c r="F369" s="123"/>
      <c r="G369" s="123"/>
      <c r="H369" s="123"/>
      <c r="I369" s="123"/>
      <c r="J369" s="174"/>
      <c r="K369" s="182"/>
      <c r="L369" s="182"/>
      <c r="M369" s="182"/>
      <c r="N369" s="182"/>
      <c r="O369" s="182"/>
      <c r="P369" s="182"/>
      <c r="Q369" s="182"/>
      <c r="R369" s="182"/>
      <c r="S369" s="182"/>
      <c r="T369" s="182"/>
      <c r="U369" s="182"/>
      <c r="V369" s="182"/>
      <c r="W369" s="182"/>
      <c r="X369" s="182"/>
      <c r="Y369" s="182"/>
    </row>
    <row r="370" spans="1:25" ht="15.75" hidden="1" customHeight="1" x14ac:dyDescent="0.2">
      <c r="A370" s="182"/>
      <c r="B370" s="175"/>
      <c r="C370" s="176"/>
      <c r="D370" s="176"/>
      <c r="E370" s="176"/>
      <c r="F370" s="123"/>
      <c r="G370" s="123"/>
      <c r="H370" s="123"/>
      <c r="I370" s="123"/>
      <c r="J370" s="174"/>
      <c r="K370" s="182"/>
      <c r="L370" s="182"/>
      <c r="M370" s="182"/>
      <c r="N370" s="182"/>
      <c r="O370" s="182"/>
      <c r="P370" s="182"/>
      <c r="Q370" s="182"/>
      <c r="R370" s="182"/>
      <c r="S370" s="182"/>
      <c r="T370" s="182"/>
      <c r="U370" s="182"/>
      <c r="V370" s="182"/>
      <c r="W370" s="182"/>
      <c r="X370" s="182"/>
      <c r="Y370" s="182"/>
    </row>
    <row r="371" spans="1:25" ht="15.75" hidden="1" customHeight="1" x14ac:dyDescent="0.2">
      <c r="A371" s="182"/>
      <c r="B371" s="175"/>
      <c r="C371" s="176"/>
      <c r="D371" s="176"/>
      <c r="E371" s="176"/>
      <c r="F371" s="123"/>
      <c r="G371" s="123"/>
      <c r="H371" s="123"/>
      <c r="I371" s="123"/>
      <c r="J371" s="174"/>
      <c r="K371" s="182"/>
      <c r="L371" s="182"/>
      <c r="M371" s="182"/>
      <c r="N371" s="182"/>
      <c r="O371" s="182"/>
      <c r="P371" s="182"/>
      <c r="Q371" s="182"/>
      <c r="R371" s="182"/>
      <c r="S371" s="182"/>
      <c r="T371" s="182"/>
      <c r="U371" s="182"/>
      <c r="V371" s="182"/>
      <c r="W371" s="182"/>
      <c r="X371" s="182"/>
      <c r="Y371" s="182"/>
    </row>
    <row r="372" spans="1:25" ht="15.75" hidden="1" customHeight="1" x14ac:dyDescent="0.2">
      <c r="A372" s="182"/>
      <c r="B372" s="175"/>
      <c r="C372" s="176"/>
      <c r="D372" s="176"/>
      <c r="E372" s="176"/>
      <c r="F372" s="123"/>
      <c r="G372" s="123"/>
      <c r="H372" s="123"/>
      <c r="I372" s="123"/>
      <c r="J372" s="174"/>
      <c r="K372" s="182"/>
      <c r="L372" s="182"/>
      <c r="M372" s="182"/>
      <c r="N372" s="182"/>
      <c r="O372" s="182"/>
      <c r="P372" s="182"/>
      <c r="Q372" s="182"/>
      <c r="R372" s="182"/>
      <c r="S372" s="182"/>
      <c r="T372" s="182"/>
      <c r="U372" s="182"/>
      <c r="V372" s="182"/>
      <c r="W372" s="182"/>
      <c r="X372" s="182"/>
      <c r="Y372" s="182"/>
    </row>
    <row r="373" spans="1:25" ht="15.75" hidden="1" customHeight="1" x14ac:dyDescent="0.2">
      <c r="A373" s="182"/>
      <c r="B373" s="175"/>
      <c r="C373" s="176"/>
      <c r="D373" s="176"/>
      <c r="E373" s="176"/>
      <c r="F373" s="123"/>
      <c r="G373" s="123"/>
      <c r="H373" s="123"/>
      <c r="I373" s="123"/>
      <c r="J373" s="174"/>
      <c r="K373" s="182"/>
      <c r="L373" s="182"/>
      <c r="M373" s="182"/>
      <c r="N373" s="182"/>
      <c r="O373" s="182"/>
      <c r="P373" s="182"/>
      <c r="Q373" s="182"/>
      <c r="R373" s="182"/>
      <c r="S373" s="182"/>
      <c r="T373" s="182"/>
      <c r="U373" s="182"/>
      <c r="V373" s="182"/>
      <c r="W373" s="182"/>
      <c r="X373" s="182"/>
      <c r="Y373" s="182"/>
    </row>
    <row r="374" spans="1:25" ht="15.75" hidden="1" customHeight="1" x14ac:dyDescent="0.2">
      <c r="A374" s="182"/>
      <c r="B374" s="175"/>
      <c r="C374" s="176"/>
      <c r="D374" s="176"/>
      <c r="E374" s="176"/>
      <c r="F374" s="123"/>
      <c r="G374" s="123"/>
      <c r="H374" s="123"/>
      <c r="I374" s="123"/>
      <c r="J374" s="174"/>
      <c r="K374" s="182"/>
      <c r="L374" s="182"/>
      <c r="M374" s="182"/>
      <c r="N374" s="182"/>
      <c r="O374" s="182"/>
      <c r="P374" s="182"/>
      <c r="Q374" s="182"/>
      <c r="R374" s="182"/>
      <c r="S374" s="182"/>
      <c r="T374" s="182"/>
      <c r="U374" s="182"/>
      <c r="V374" s="182"/>
      <c r="W374" s="182"/>
      <c r="X374" s="182"/>
      <c r="Y374" s="182"/>
    </row>
    <row r="375" spans="1:25" ht="15.75" hidden="1" customHeight="1" x14ac:dyDescent="0.2">
      <c r="A375" s="182"/>
      <c r="B375" s="175"/>
      <c r="C375" s="176"/>
      <c r="D375" s="176"/>
      <c r="E375" s="176"/>
      <c r="F375" s="123"/>
      <c r="G375" s="123"/>
      <c r="H375" s="123"/>
      <c r="I375" s="123"/>
      <c r="J375" s="174"/>
      <c r="K375" s="182"/>
      <c r="L375" s="182"/>
      <c r="M375" s="182"/>
      <c r="N375" s="182"/>
      <c r="O375" s="182"/>
      <c r="P375" s="182"/>
      <c r="Q375" s="182"/>
      <c r="R375" s="182"/>
      <c r="S375" s="182"/>
      <c r="T375" s="182"/>
      <c r="U375" s="182"/>
      <c r="V375" s="182"/>
      <c r="W375" s="182"/>
      <c r="X375" s="182"/>
      <c r="Y375" s="182"/>
    </row>
    <row r="376" spans="1:25" ht="15.75" hidden="1" customHeight="1" x14ac:dyDescent="0.2">
      <c r="A376" s="182"/>
      <c r="B376" s="175"/>
      <c r="C376" s="176"/>
      <c r="D376" s="176"/>
      <c r="E376" s="176"/>
      <c r="F376" s="123"/>
      <c r="G376" s="123"/>
      <c r="H376" s="123"/>
      <c r="I376" s="123"/>
      <c r="J376" s="174"/>
      <c r="K376" s="182"/>
      <c r="L376" s="182"/>
      <c r="M376" s="182"/>
      <c r="N376" s="182"/>
      <c r="O376" s="182"/>
      <c r="P376" s="182"/>
      <c r="Q376" s="182"/>
      <c r="R376" s="182"/>
      <c r="S376" s="182"/>
      <c r="T376" s="182"/>
      <c r="U376" s="182"/>
      <c r="V376" s="182"/>
      <c r="W376" s="182"/>
      <c r="X376" s="182"/>
      <c r="Y376" s="182"/>
    </row>
    <row r="377" spans="1:25" ht="15.75" hidden="1" customHeight="1" x14ac:dyDescent="0.2">
      <c r="A377" s="182"/>
      <c r="B377" s="175"/>
      <c r="C377" s="176"/>
      <c r="D377" s="176"/>
      <c r="E377" s="176"/>
      <c r="F377" s="123"/>
      <c r="G377" s="123"/>
      <c r="H377" s="123"/>
      <c r="I377" s="123"/>
      <c r="J377" s="174"/>
      <c r="K377" s="182"/>
      <c r="L377" s="182"/>
      <c r="M377" s="182"/>
      <c r="N377" s="182"/>
      <c r="O377" s="182"/>
      <c r="P377" s="182"/>
      <c r="Q377" s="182"/>
      <c r="R377" s="182"/>
      <c r="S377" s="182"/>
      <c r="T377" s="182"/>
      <c r="U377" s="182"/>
      <c r="V377" s="182"/>
      <c r="W377" s="182"/>
      <c r="X377" s="182"/>
      <c r="Y377" s="182"/>
    </row>
    <row r="378" spans="1:25" ht="15.75" hidden="1" customHeight="1" x14ac:dyDescent="0.2">
      <c r="A378" s="182"/>
      <c r="B378" s="175"/>
      <c r="C378" s="176"/>
      <c r="D378" s="176"/>
      <c r="E378" s="176"/>
      <c r="F378" s="123"/>
      <c r="G378" s="123"/>
      <c r="H378" s="123"/>
      <c r="I378" s="123"/>
      <c r="J378" s="174"/>
      <c r="K378" s="182"/>
      <c r="L378" s="182"/>
      <c r="M378" s="182"/>
      <c r="N378" s="182"/>
      <c r="O378" s="182"/>
      <c r="P378" s="182"/>
      <c r="Q378" s="182"/>
      <c r="R378" s="182"/>
      <c r="S378" s="182"/>
      <c r="T378" s="182"/>
      <c r="U378" s="182"/>
      <c r="V378" s="182"/>
      <c r="W378" s="182"/>
      <c r="X378" s="182"/>
      <c r="Y378" s="182"/>
    </row>
    <row r="379" spans="1:25" ht="15.75" hidden="1" customHeight="1" x14ac:dyDescent="0.2">
      <c r="A379" s="182"/>
      <c r="B379" s="175"/>
      <c r="C379" s="176"/>
      <c r="D379" s="176"/>
      <c r="E379" s="176"/>
      <c r="F379" s="123"/>
      <c r="G379" s="123"/>
      <c r="H379" s="123"/>
      <c r="I379" s="123"/>
      <c r="J379" s="174"/>
      <c r="K379" s="182"/>
      <c r="L379" s="182"/>
      <c r="M379" s="182"/>
      <c r="N379" s="182"/>
      <c r="O379" s="182"/>
      <c r="P379" s="182"/>
      <c r="Q379" s="182"/>
      <c r="R379" s="182"/>
      <c r="S379" s="182"/>
      <c r="T379" s="182"/>
      <c r="U379" s="182"/>
      <c r="V379" s="182"/>
      <c r="W379" s="182"/>
      <c r="X379" s="182"/>
      <c r="Y379" s="182"/>
    </row>
    <row r="380" spans="1:25" ht="15.75" hidden="1" customHeight="1" x14ac:dyDescent="0.2">
      <c r="A380" s="182"/>
      <c r="B380" s="175"/>
      <c r="C380" s="176"/>
      <c r="D380" s="176"/>
      <c r="E380" s="176"/>
      <c r="F380" s="123"/>
      <c r="G380" s="123"/>
      <c r="H380" s="123"/>
      <c r="I380" s="123"/>
      <c r="J380" s="174"/>
      <c r="K380" s="182"/>
      <c r="L380" s="182"/>
      <c r="M380" s="182"/>
      <c r="N380" s="182"/>
      <c r="O380" s="182"/>
      <c r="P380" s="182"/>
      <c r="Q380" s="182"/>
      <c r="R380" s="182"/>
      <c r="S380" s="182"/>
      <c r="T380" s="182"/>
      <c r="U380" s="182"/>
      <c r="V380" s="182"/>
      <c r="W380" s="182"/>
      <c r="X380" s="182"/>
      <c r="Y380" s="182"/>
    </row>
    <row r="381" spans="1:25" ht="15.75" hidden="1" customHeight="1" x14ac:dyDescent="0.2">
      <c r="A381" s="182"/>
      <c r="B381" s="175"/>
      <c r="C381" s="176"/>
      <c r="D381" s="176"/>
      <c r="E381" s="176"/>
      <c r="F381" s="123"/>
      <c r="G381" s="123"/>
      <c r="H381" s="123"/>
      <c r="I381" s="123"/>
      <c r="J381" s="174"/>
      <c r="K381" s="182"/>
      <c r="L381" s="182"/>
      <c r="M381" s="182"/>
      <c r="N381" s="182"/>
      <c r="O381" s="182"/>
      <c r="P381" s="182"/>
      <c r="Q381" s="182"/>
      <c r="R381" s="182"/>
      <c r="S381" s="182"/>
      <c r="T381" s="182"/>
      <c r="U381" s="182"/>
      <c r="V381" s="182"/>
      <c r="W381" s="182"/>
      <c r="X381" s="182"/>
      <c r="Y381" s="182"/>
    </row>
    <row r="382" spans="1:25" ht="15.75" hidden="1" customHeight="1" x14ac:dyDescent="0.2">
      <c r="A382" s="182"/>
      <c r="B382" s="175"/>
      <c r="C382" s="176"/>
      <c r="D382" s="176"/>
      <c r="E382" s="176"/>
      <c r="F382" s="123"/>
      <c r="G382" s="123"/>
      <c r="H382" s="123"/>
      <c r="I382" s="123"/>
      <c r="J382" s="174"/>
      <c r="K382" s="182"/>
      <c r="L382" s="182"/>
      <c r="M382" s="182"/>
      <c r="N382" s="182"/>
      <c r="O382" s="182"/>
      <c r="P382" s="182"/>
      <c r="Q382" s="182"/>
      <c r="R382" s="182"/>
      <c r="S382" s="182"/>
      <c r="T382" s="182"/>
      <c r="U382" s="182"/>
      <c r="V382" s="182"/>
      <c r="W382" s="182"/>
      <c r="X382" s="182"/>
      <c r="Y382" s="182"/>
    </row>
    <row r="383" spans="1:25" ht="15.75" hidden="1" customHeight="1" x14ac:dyDescent="0.2">
      <c r="A383" s="182"/>
      <c r="B383" s="175"/>
      <c r="C383" s="176"/>
      <c r="D383" s="176"/>
      <c r="E383" s="176"/>
      <c r="F383" s="123"/>
      <c r="G383" s="123"/>
      <c r="H383" s="123"/>
      <c r="I383" s="123"/>
      <c r="J383" s="174"/>
      <c r="K383" s="182"/>
      <c r="L383" s="182"/>
      <c r="M383" s="182"/>
      <c r="N383" s="182"/>
      <c r="O383" s="182"/>
      <c r="P383" s="182"/>
      <c r="Q383" s="182"/>
      <c r="R383" s="182"/>
      <c r="S383" s="182"/>
      <c r="T383" s="182"/>
      <c r="U383" s="182"/>
      <c r="V383" s="182"/>
      <c r="W383" s="182"/>
      <c r="X383" s="182"/>
      <c r="Y383" s="182"/>
    </row>
    <row r="384" spans="1:25" ht="15.75" hidden="1" customHeight="1" x14ac:dyDescent="0.2">
      <c r="A384" s="182"/>
      <c r="B384" s="175"/>
      <c r="C384" s="176"/>
      <c r="D384" s="176"/>
      <c r="E384" s="176"/>
      <c r="F384" s="123"/>
      <c r="G384" s="123"/>
      <c r="H384" s="123"/>
      <c r="I384" s="123"/>
      <c r="J384" s="174"/>
      <c r="K384" s="182"/>
      <c r="L384" s="182"/>
      <c r="M384" s="182"/>
      <c r="N384" s="182"/>
      <c r="O384" s="182"/>
      <c r="P384" s="182"/>
      <c r="Q384" s="182"/>
      <c r="R384" s="182"/>
      <c r="S384" s="182"/>
      <c r="T384" s="182"/>
      <c r="U384" s="182"/>
      <c r="V384" s="182"/>
      <c r="W384" s="182"/>
      <c r="X384" s="182"/>
      <c r="Y384" s="182"/>
    </row>
    <row r="385" spans="1:25" ht="15.75" hidden="1" customHeight="1" x14ac:dyDescent="0.2">
      <c r="A385" s="182"/>
      <c r="B385" s="175"/>
      <c r="C385" s="176"/>
      <c r="D385" s="176"/>
      <c r="E385" s="176"/>
      <c r="F385" s="123"/>
      <c r="G385" s="123"/>
      <c r="H385" s="123"/>
      <c r="I385" s="123"/>
      <c r="J385" s="174"/>
      <c r="K385" s="182"/>
      <c r="L385" s="182"/>
      <c r="M385" s="182"/>
      <c r="N385" s="182"/>
      <c r="O385" s="182"/>
      <c r="P385" s="182"/>
      <c r="Q385" s="182"/>
      <c r="R385" s="182"/>
      <c r="S385" s="182"/>
      <c r="T385" s="182"/>
      <c r="U385" s="182"/>
      <c r="V385" s="182"/>
      <c r="W385" s="182"/>
      <c r="X385" s="182"/>
      <c r="Y385" s="182"/>
    </row>
    <row r="386" spans="1:25" ht="15.75" hidden="1" customHeight="1" x14ac:dyDescent="0.2">
      <c r="A386" s="182"/>
      <c r="B386" s="175"/>
      <c r="C386" s="176"/>
      <c r="D386" s="176"/>
      <c r="E386" s="176"/>
      <c r="F386" s="123"/>
      <c r="G386" s="123"/>
      <c r="H386" s="123"/>
      <c r="I386" s="123"/>
      <c r="J386" s="174"/>
      <c r="K386" s="182"/>
      <c r="L386" s="182"/>
      <c r="M386" s="182"/>
      <c r="N386" s="182"/>
      <c r="O386" s="182"/>
      <c r="P386" s="182"/>
      <c r="Q386" s="182"/>
      <c r="R386" s="182"/>
      <c r="S386" s="182"/>
      <c r="T386" s="182"/>
      <c r="U386" s="182"/>
      <c r="V386" s="182"/>
      <c r="W386" s="182"/>
      <c r="X386" s="182"/>
      <c r="Y386" s="182"/>
    </row>
    <row r="387" spans="1:25" ht="15.75" hidden="1" customHeight="1" x14ac:dyDescent="0.2">
      <c r="A387" s="182"/>
      <c r="B387" s="175"/>
      <c r="C387" s="176"/>
      <c r="D387" s="176"/>
      <c r="E387" s="176"/>
      <c r="F387" s="123"/>
      <c r="G387" s="123"/>
      <c r="H387" s="123"/>
      <c r="I387" s="123"/>
      <c r="J387" s="174"/>
      <c r="K387" s="182"/>
      <c r="L387" s="182"/>
      <c r="M387" s="182"/>
      <c r="N387" s="182"/>
      <c r="O387" s="182"/>
      <c r="P387" s="182"/>
      <c r="Q387" s="182"/>
      <c r="R387" s="182"/>
      <c r="S387" s="182"/>
      <c r="T387" s="182"/>
      <c r="U387" s="182"/>
      <c r="V387" s="182"/>
      <c r="W387" s="182"/>
      <c r="X387" s="182"/>
      <c r="Y387" s="182"/>
    </row>
    <row r="388" spans="1:25" ht="15.75" hidden="1" customHeight="1" x14ac:dyDescent="0.2">
      <c r="A388" s="182"/>
      <c r="B388" s="175"/>
      <c r="C388" s="176"/>
      <c r="D388" s="176"/>
      <c r="E388" s="176"/>
      <c r="F388" s="123"/>
      <c r="G388" s="123"/>
      <c r="H388" s="123"/>
      <c r="I388" s="123"/>
      <c r="J388" s="174"/>
      <c r="K388" s="182"/>
      <c r="L388" s="182"/>
      <c r="M388" s="182"/>
      <c r="N388" s="182"/>
      <c r="O388" s="182"/>
      <c r="P388" s="182"/>
      <c r="Q388" s="182"/>
      <c r="R388" s="182"/>
      <c r="S388" s="182"/>
      <c r="T388" s="182"/>
      <c r="U388" s="182"/>
      <c r="V388" s="182"/>
      <c r="W388" s="182"/>
      <c r="X388" s="182"/>
      <c r="Y388" s="182"/>
    </row>
    <row r="389" spans="1:25" ht="15.75" hidden="1" customHeight="1" x14ac:dyDescent="0.2">
      <c r="A389" s="182"/>
      <c r="B389" s="175"/>
      <c r="C389" s="176"/>
      <c r="D389" s="176"/>
      <c r="E389" s="176"/>
      <c r="F389" s="123"/>
      <c r="G389" s="123"/>
      <c r="H389" s="123"/>
      <c r="I389" s="123"/>
      <c r="J389" s="174"/>
      <c r="K389" s="182"/>
      <c r="L389" s="182"/>
      <c r="M389" s="182"/>
      <c r="N389" s="182"/>
      <c r="O389" s="182"/>
      <c r="P389" s="182"/>
      <c r="Q389" s="182"/>
      <c r="R389" s="182"/>
      <c r="S389" s="182"/>
      <c r="T389" s="182"/>
      <c r="U389" s="182"/>
      <c r="V389" s="182"/>
      <c r="W389" s="182"/>
      <c r="X389" s="182"/>
      <c r="Y389" s="182"/>
    </row>
    <row r="390" spans="1:25" ht="15.75" hidden="1" customHeight="1" x14ac:dyDescent="0.2">
      <c r="A390" s="182"/>
      <c r="B390" s="175"/>
      <c r="C390" s="176"/>
      <c r="D390" s="176"/>
      <c r="E390" s="176"/>
      <c r="F390" s="123"/>
      <c r="G390" s="123"/>
      <c r="H390" s="123"/>
      <c r="I390" s="123"/>
      <c r="J390" s="174"/>
      <c r="K390" s="182"/>
      <c r="L390" s="182"/>
      <c r="M390" s="182"/>
      <c r="N390" s="182"/>
      <c r="O390" s="182"/>
      <c r="P390" s="182"/>
      <c r="Q390" s="182"/>
      <c r="R390" s="182"/>
      <c r="S390" s="182"/>
      <c r="T390" s="182"/>
      <c r="U390" s="182"/>
      <c r="V390" s="182"/>
      <c r="W390" s="182"/>
      <c r="X390" s="182"/>
      <c r="Y390" s="182"/>
    </row>
    <row r="391" spans="1:25" ht="15.75" hidden="1" customHeight="1" x14ac:dyDescent="0.2">
      <c r="A391" s="182"/>
      <c r="B391" s="175"/>
      <c r="C391" s="176"/>
      <c r="D391" s="176"/>
      <c r="E391" s="176"/>
      <c r="F391" s="123"/>
      <c r="G391" s="123"/>
      <c r="H391" s="123"/>
      <c r="I391" s="123"/>
      <c r="J391" s="174"/>
      <c r="K391" s="182"/>
      <c r="L391" s="182"/>
      <c r="M391" s="182"/>
      <c r="N391" s="182"/>
      <c r="O391" s="182"/>
      <c r="P391" s="182"/>
      <c r="Q391" s="182"/>
      <c r="R391" s="182"/>
      <c r="S391" s="182"/>
      <c r="T391" s="182"/>
      <c r="U391" s="182"/>
      <c r="V391" s="182"/>
      <c r="W391" s="182"/>
      <c r="X391" s="182"/>
      <c r="Y391" s="182"/>
    </row>
    <row r="392" spans="1:25" ht="15.75" hidden="1" customHeight="1" x14ac:dyDescent="0.2">
      <c r="A392" s="182"/>
      <c r="B392" s="175"/>
      <c r="C392" s="176"/>
      <c r="D392" s="176"/>
      <c r="E392" s="176"/>
      <c r="F392" s="123"/>
      <c r="G392" s="123"/>
      <c r="H392" s="123"/>
      <c r="I392" s="123"/>
      <c r="J392" s="174"/>
      <c r="K392" s="182"/>
      <c r="L392" s="182"/>
      <c r="M392" s="182"/>
      <c r="N392" s="182"/>
      <c r="O392" s="182"/>
      <c r="P392" s="182"/>
      <c r="Q392" s="182"/>
      <c r="R392" s="182"/>
      <c r="S392" s="182"/>
      <c r="T392" s="182"/>
      <c r="U392" s="182"/>
      <c r="V392" s="182"/>
      <c r="W392" s="182"/>
      <c r="X392" s="182"/>
      <c r="Y392" s="182"/>
    </row>
    <row r="393" spans="1:25" ht="15.75" hidden="1" customHeight="1" x14ac:dyDescent="0.2">
      <c r="A393" s="182"/>
      <c r="B393" s="175"/>
      <c r="C393" s="176"/>
      <c r="D393" s="176"/>
      <c r="E393" s="176"/>
      <c r="F393" s="123"/>
      <c r="G393" s="123"/>
      <c r="H393" s="123"/>
      <c r="I393" s="123"/>
      <c r="J393" s="174"/>
      <c r="K393" s="182"/>
      <c r="L393" s="182"/>
      <c r="M393" s="182"/>
      <c r="N393" s="182"/>
      <c r="O393" s="182"/>
      <c r="P393" s="182"/>
      <c r="Q393" s="182"/>
      <c r="R393" s="182"/>
      <c r="S393" s="182"/>
      <c r="T393" s="182"/>
      <c r="U393" s="182"/>
      <c r="V393" s="182"/>
      <c r="W393" s="182"/>
      <c r="X393" s="182"/>
      <c r="Y393" s="182"/>
    </row>
    <row r="394" spans="1:25" ht="15.75" hidden="1" customHeight="1" x14ac:dyDescent="0.2">
      <c r="A394" s="182"/>
      <c r="B394" s="175"/>
      <c r="C394" s="176"/>
      <c r="D394" s="176"/>
      <c r="E394" s="176"/>
      <c r="F394" s="123"/>
      <c r="G394" s="123"/>
      <c r="H394" s="123"/>
      <c r="I394" s="123"/>
      <c r="J394" s="174"/>
      <c r="K394" s="182"/>
      <c r="L394" s="182"/>
      <c r="M394" s="182"/>
      <c r="N394" s="182"/>
      <c r="O394" s="182"/>
      <c r="P394" s="182"/>
      <c r="Q394" s="182"/>
      <c r="R394" s="182"/>
      <c r="S394" s="182"/>
      <c r="T394" s="182"/>
      <c r="U394" s="182"/>
      <c r="V394" s="182"/>
      <c r="W394" s="182"/>
      <c r="X394" s="182"/>
      <c r="Y394" s="182"/>
    </row>
    <row r="395" spans="1:25" ht="15.75" hidden="1" customHeight="1" x14ac:dyDescent="0.2">
      <c r="A395" s="182"/>
      <c r="B395" s="175"/>
      <c r="C395" s="176"/>
      <c r="D395" s="176"/>
      <c r="E395" s="176"/>
      <c r="F395" s="123"/>
      <c r="G395" s="123"/>
      <c r="H395" s="123"/>
      <c r="I395" s="123"/>
      <c r="J395" s="174"/>
      <c r="K395" s="182"/>
      <c r="L395" s="182"/>
      <c r="M395" s="182"/>
      <c r="N395" s="182"/>
      <c r="O395" s="182"/>
      <c r="P395" s="182"/>
      <c r="Q395" s="182"/>
      <c r="R395" s="182"/>
      <c r="S395" s="182"/>
      <c r="T395" s="182"/>
      <c r="U395" s="182"/>
      <c r="V395" s="182"/>
      <c r="W395" s="182"/>
      <c r="X395" s="182"/>
      <c r="Y395" s="182"/>
    </row>
    <row r="396" spans="1:25" ht="15.75" hidden="1" customHeight="1" x14ac:dyDescent="0.2">
      <c r="A396" s="182"/>
      <c r="B396" s="175"/>
      <c r="C396" s="176"/>
      <c r="D396" s="176"/>
      <c r="E396" s="176"/>
      <c r="F396" s="123"/>
      <c r="G396" s="123"/>
      <c r="H396" s="123"/>
      <c r="I396" s="123"/>
      <c r="J396" s="174"/>
      <c r="K396" s="182"/>
      <c r="L396" s="182"/>
      <c r="M396" s="182"/>
      <c r="N396" s="182"/>
      <c r="O396" s="182"/>
      <c r="P396" s="182"/>
      <c r="Q396" s="182"/>
      <c r="R396" s="182"/>
      <c r="S396" s="182"/>
      <c r="T396" s="182"/>
      <c r="U396" s="182"/>
      <c r="V396" s="182"/>
      <c r="W396" s="182"/>
      <c r="X396" s="182"/>
      <c r="Y396" s="182"/>
    </row>
    <row r="397" spans="1:25" ht="15.75" hidden="1" customHeight="1" x14ac:dyDescent="0.2">
      <c r="A397" s="182"/>
      <c r="B397" s="175"/>
      <c r="C397" s="176"/>
      <c r="D397" s="176"/>
      <c r="E397" s="176"/>
      <c r="F397" s="123"/>
      <c r="G397" s="123"/>
      <c r="H397" s="123"/>
      <c r="I397" s="123"/>
      <c r="J397" s="174"/>
      <c r="K397" s="182"/>
      <c r="L397" s="182"/>
      <c r="M397" s="182"/>
      <c r="N397" s="182"/>
      <c r="O397" s="182"/>
      <c r="P397" s="182"/>
      <c r="Q397" s="182"/>
      <c r="R397" s="182"/>
      <c r="S397" s="182"/>
      <c r="T397" s="182"/>
      <c r="U397" s="182"/>
      <c r="V397" s="182"/>
      <c r="W397" s="182"/>
      <c r="X397" s="182"/>
      <c r="Y397" s="182"/>
    </row>
    <row r="398" spans="1:25" ht="15.75" hidden="1" customHeight="1" x14ac:dyDescent="0.2">
      <c r="A398" s="182"/>
      <c r="B398" s="175"/>
      <c r="C398" s="176"/>
      <c r="D398" s="176"/>
      <c r="E398" s="176"/>
      <c r="F398" s="123"/>
      <c r="G398" s="123"/>
      <c r="H398" s="123"/>
      <c r="I398" s="123"/>
      <c r="J398" s="174"/>
      <c r="K398" s="182"/>
      <c r="L398" s="182"/>
      <c r="M398" s="182"/>
      <c r="N398" s="182"/>
      <c r="O398" s="182"/>
      <c r="P398" s="182"/>
      <c r="Q398" s="182"/>
      <c r="R398" s="182"/>
      <c r="S398" s="182"/>
      <c r="T398" s="182"/>
      <c r="U398" s="182"/>
      <c r="V398" s="182"/>
      <c r="W398" s="182"/>
      <c r="X398" s="182"/>
      <c r="Y398" s="182"/>
    </row>
    <row r="399" spans="1:25" ht="15.75" hidden="1" customHeight="1" x14ac:dyDescent="0.2">
      <c r="A399" s="182"/>
      <c r="B399" s="175"/>
      <c r="C399" s="176"/>
      <c r="D399" s="176"/>
      <c r="E399" s="176"/>
      <c r="F399" s="123"/>
      <c r="G399" s="123"/>
      <c r="H399" s="123"/>
      <c r="I399" s="123"/>
      <c r="J399" s="174"/>
      <c r="K399" s="182"/>
      <c r="L399" s="182"/>
      <c r="M399" s="182"/>
      <c r="N399" s="182"/>
      <c r="O399" s="182"/>
      <c r="P399" s="182"/>
      <c r="Q399" s="182"/>
      <c r="R399" s="182"/>
      <c r="S399" s="182"/>
      <c r="T399" s="182"/>
      <c r="U399" s="182"/>
      <c r="V399" s="182"/>
      <c r="W399" s="182"/>
      <c r="X399" s="182"/>
      <c r="Y399" s="182"/>
    </row>
    <row r="400" spans="1:25" ht="15.75" hidden="1" customHeight="1" x14ac:dyDescent="0.2">
      <c r="A400" s="182"/>
      <c r="B400" s="175"/>
      <c r="C400" s="176"/>
      <c r="D400" s="176"/>
      <c r="E400" s="176"/>
      <c r="F400" s="123"/>
      <c r="G400" s="123"/>
      <c r="H400" s="123"/>
      <c r="I400" s="123"/>
      <c r="J400" s="174"/>
      <c r="K400" s="182"/>
      <c r="L400" s="182"/>
      <c r="M400" s="182"/>
      <c r="N400" s="182"/>
      <c r="O400" s="182"/>
      <c r="P400" s="182"/>
      <c r="Q400" s="182"/>
      <c r="R400" s="182"/>
      <c r="S400" s="182"/>
      <c r="T400" s="182"/>
      <c r="U400" s="182"/>
      <c r="V400" s="182"/>
      <c r="W400" s="182"/>
      <c r="X400" s="182"/>
      <c r="Y400" s="182"/>
    </row>
    <row r="401" spans="1:25" ht="15.75" hidden="1" customHeight="1" x14ac:dyDescent="0.2">
      <c r="A401" s="182"/>
      <c r="B401" s="175"/>
      <c r="C401" s="176"/>
      <c r="D401" s="176"/>
      <c r="E401" s="176"/>
      <c r="F401" s="123"/>
      <c r="G401" s="123"/>
      <c r="H401" s="123"/>
      <c r="I401" s="123"/>
      <c r="J401" s="174"/>
      <c r="K401" s="182"/>
      <c r="L401" s="182"/>
      <c r="M401" s="182"/>
      <c r="N401" s="182"/>
      <c r="O401" s="182"/>
      <c r="P401" s="182"/>
      <c r="Q401" s="182"/>
      <c r="R401" s="182"/>
      <c r="S401" s="182"/>
      <c r="T401" s="182"/>
      <c r="U401" s="182"/>
      <c r="V401" s="182"/>
      <c r="W401" s="182"/>
      <c r="X401" s="182"/>
      <c r="Y401" s="182"/>
    </row>
    <row r="402" spans="1:25" ht="15.75" hidden="1" customHeight="1" x14ac:dyDescent="0.2">
      <c r="A402" s="182"/>
      <c r="B402" s="175"/>
      <c r="C402" s="176"/>
      <c r="D402" s="176"/>
      <c r="E402" s="176"/>
      <c r="F402" s="123"/>
      <c r="G402" s="123"/>
      <c r="H402" s="123"/>
      <c r="I402" s="123"/>
      <c r="J402" s="174"/>
      <c r="K402" s="182"/>
      <c r="L402" s="182"/>
      <c r="M402" s="182"/>
      <c r="N402" s="182"/>
      <c r="O402" s="182"/>
      <c r="P402" s="182"/>
      <c r="Q402" s="182"/>
      <c r="R402" s="182"/>
      <c r="S402" s="182"/>
      <c r="T402" s="182"/>
      <c r="U402" s="182"/>
      <c r="V402" s="182"/>
      <c r="W402" s="182"/>
      <c r="X402" s="182"/>
      <c r="Y402" s="182"/>
    </row>
    <row r="403" spans="1:25" ht="15.75" hidden="1" customHeight="1" x14ac:dyDescent="0.2">
      <c r="A403" s="182"/>
      <c r="B403" s="175"/>
      <c r="C403" s="176"/>
      <c r="D403" s="176"/>
      <c r="E403" s="176"/>
      <c r="F403" s="123"/>
      <c r="G403" s="123"/>
      <c r="H403" s="123"/>
      <c r="I403" s="123"/>
      <c r="J403" s="174"/>
      <c r="K403" s="182"/>
      <c r="L403" s="182"/>
      <c r="M403" s="182"/>
      <c r="N403" s="182"/>
      <c r="O403" s="182"/>
      <c r="P403" s="182"/>
      <c r="Q403" s="182"/>
      <c r="R403" s="182"/>
      <c r="S403" s="182"/>
      <c r="T403" s="182"/>
      <c r="U403" s="182"/>
      <c r="V403" s="182"/>
      <c r="W403" s="182"/>
      <c r="X403" s="182"/>
      <c r="Y403" s="182"/>
    </row>
    <row r="404" spans="1:25" ht="15.75" hidden="1" customHeight="1" x14ac:dyDescent="0.2">
      <c r="A404" s="182"/>
      <c r="B404" s="175"/>
      <c r="C404" s="176"/>
      <c r="D404" s="176"/>
      <c r="E404" s="176"/>
      <c r="F404" s="123"/>
      <c r="G404" s="123"/>
      <c r="H404" s="123"/>
      <c r="I404" s="123"/>
      <c r="J404" s="174"/>
      <c r="K404" s="182"/>
      <c r="L404" s="182"/>
      <c r="M404" s="182"/>
      <c r="N404" s="182"/>
      <c r="O404" s="182"/>
      <c r="P404" s="182"/>
      <c r="Q404" s="182"/>
      <c r="R404" s="182"/>
      <c r="S404" s="182"/>
      <c r="T404" s="182"/>
      <c r="U404" s="182"/>
      <c r="V404" s="182"/>
      <c r="W404" s="182"/>
      <c r="X404" s="182"/>
      <c r="Y404" s="182"/>
    </row>
    <row r="405" spans="1:25" ht="15.75" hidden="1" customHeight="1" x14ac:dyDescent="0.2">
      <c r="A405" s="182"/>
      <c r="B405" s="175"/>
      <c r="C405" s="176"/>
      <c r="D405" s="176"/>
      <c r="E405" s="176"/>
      <c r="F405" s="123"/>
      <c r="G405" s="123"/>
      <c r="H405" s="123"/>
      <c r="I405" s="123"/>
      <c r="J405" s="174"/>
      <c r="K405" s="182"/>
      <c r="L405" s="182"/>
      <c r="M405" s="182"/>
      <c r="N405" s="182"/>
      <c r="O405" s="182"/>
      <c r="P405" s="182"/>
      <c r="Q405" s="182"/>
      <c r="R405" s="182"/>
      <c r="S405" s="182"/>
      <c r="T405" s="182"/>
      <c r="U405" s="182"/>
      <c r="V405" s="182"/>
      <c r="W405" s="182"/>
      <c r="X405" s="182"/>
      <c r="Y405" s="182"/>
    </row>
    <row r="406" spans="1:25" ht="15.75" hidden="1" customHeight="1" x14ac:dyDescent="0.2">
      <c r="A406" s="182"/>
      <c r="B406" s="175"/>
      <c r="C406" s="176"/>
      <c r="D406" s="176"/>
      <c r="E406" s="176"/>
      <c r="F406" s="123"/>
      <c r="G406" s="123"/>
      <c r="H406" s="123"/>
      <c r="I406" s="123"/>
      <c r="J406" s="174"/>
      <c r="K406" s="182"/>
      <c r="L406" s="182"/>
      <c r="M406" s="182"/>
      <c r="N406" s="182"/>
      <c r="O406" s="182"/>
      <c r="P406" s="182"/>
      <c r="Q406" s="182"/>
      <c r="R406" s="182"/>
      <c r="S406" s="182"/>
      <c r="T406" s="182"/>
      <c r="U406" s="182"/>
      <c r="V406" s="182"/>
      <c r="W406" s="182"/>
      <c r="X406" s="182"/>
      <c r="Y406" s="182"/>
    </row>
    <row r="407" spans="1:25" ht="15.75" hidden="1" customHeight="1" x14ac:dyDescent="0.2">
      <c r="A407" s="182"/>
      <c r="B407" s="175"/>
      <c r="C407" s="176"/>
      <c r="D407" s="176"/>
      <c r="E407" s="176"/>
      <c r="F407" s="123"/>
      <c r="G407" s="123"/>
      <c r="H407" s="123"/>
      <c r="I407" s="123"/>
      <c r="J407" s="174"/>
      <c r="K407" s="182"/>
      <c r="L407" s="182"/>
      <c r="M407" s="182"/>
      <c r="N407" s="182"/>
      <c r="O407" s="182"/>
      <c r="P407" s="182"/>
      <c r="Q407" s="182"/>
      <c r="R407" s="182"/>
      <c r="S407" s="182"/>
      <c r="T407" s="182"/>
      <c r="U407" s="182"/>
      <c r="V407" s="182"/>
      <c r="W407" s="182"/>
      <c r="X407" s="182"/>
      <c r="Y407" s="182"/>
    </row>
    <row r="408" spans="1:25" ht="15.75" hidden="1" customHeight="1" x14ac:dyDescent="0.2">
      <c r="A408" s="182"/>
      <c r="B408" s="175"/>
      <c r="C408" s="176"/>
      <c r="D408" s="176"/>
      <c r="E408" s="176"/>
      <c r="F408" s="123"/>
      <c r="G408" s="123"/>
      <c r="H408" s="123"/>
      <c r="I408" s="123"/>
      <c r="J408" s="174"/>
      <c r="K408" s="182"/>
      <c r="L408" s="182"/>
      <c r="M408" s="182"/>
      <c r="N408" s="182"/>
      <c r="O408" s="182"/>
      <c r="P408" s="182"/>
      <c r="Q408" s="182"/>
      <c r="R408" s="182"/>
      <c r="S408" s="182"/>
      <c r="T408" s="182"/>
      <c r="U408" s="182"/>
      <c r="V408" s="182"/>
      <c r="W408" s="182"/>
      <c r="X408" s="182"/>
      <c r="Y408" s="182"/>
    </row>
    <row r="409" spans="1:25" ht="15.75" hidden="1" customHeight="1" x14ac:dyDescent="0.2">
      <c r="A409" s="182"/>
      <c r="B409" s="175"/>
      <c r="C409" s="176"/>
      <c r="D409" s="176"/>
      <c r="E409" s="176"/>
      <c r="F409" s="123"/>
      <c r="G409" s="123"/>
      <c r="H409" s="123"/>
      <c r="I409" s="123"/>
      <c r="J409" s="174"/>
      <c r="K409" s="182"/>
      <c r="L409" s="182"/>
      <c r="M409" s="182"/>
      <c r="N409" s="182"/>
      <c r="O409" s="182"/>
      <c r="P409" s="182"/>
      <c r="Q409" s="182"/>
      <c r="R409" s="182"/>
      <c r="S409" s="182"/>
      <c r="T409" s="182"/>
      <c r="U409" s="182"/>
      <c r="V409" s="182"/>
      <c r="W409" s="182"/>
      <c r="X409" s="182"/>
      <c r="Y409" s="182"/>
    </row>
    <row r="410" spans="1:25" ht="15.75" hidden="1" customHeight="1" x14ac:dyDescent="0.2">
      <c r="A410" s="182"/>
      <c r="B410" s="175"/>
      <c r="C410" s="176"/>
      <c r="D410" s="176"/>
      <c r="E410" s="176"/>
      <c r="F410" s="123"/>
      <c r="G410" s="123"/>
      <c r="H410" s="123"/>
      <c r="I410" s="123"/>
      <c r="J410" s="174"/>
      <c r="K410" s="182"/>
      <c r="L410" s="182"/>
      <c r="M410" s="182"/>
      <c r="N410" s="182"/>
      <c r="O410" s="182"/>
      <c r="P410" s="182"/>
      <c r="Q410" s="182"/>
      <c r="R410" s="182"/>
      <c r="S410" s="182"/>
      <c r="T410" s="182"/>
      <c r="U410" s="182"/>
      <c r="V410" s="182"/>
      <c r="W410" s="182"/>
      <c r="X410" s="182"/>
      <c r="Y410" s="182"/>
    </row>
    <row r="411" spans="1:25" ht="15.75" hidden="1" customHeight="1" x14ac:dyDescent="0.2">
      <c r="A411" s="182"/>
      <c r="B411" s="175"/>
      <c r="C411" s="176"/>
      <c r="D411" s="176"/>
      <c r="E411" s="176"/>
      <c r="F411" s="123"/>
      <c r="G411" s="123"/>
      <c r="H411" s="123"/>
      <c r="I411" s="123"/>
      <c r="J411" s="174"/>
      <c r="K411" s="182"/>
      <c r="L411" s="182"/>
      <c r="M411" s="182"/>
      <c r="N411" s="182"/>
      <c r="O411" s="182"/>
      <c r="P411" s="182"/>
      <c r="Q411" s="182"/>
      <c r="R411" s="182"/>
      <c r="S411" s="182"/>
      <c r="T411" s="182"/>
      <c r="U411" s="182"/>
      <c r="V411" s="182"/>
      <c r="W411" s="182"/>
      <c r="X411" s="182"/>
      <c r="Y411" s="182"/>
    </row>
    <row r="412" spans="1:25" ht="15.75" hidden="1" customHeight="1" x14ac:dyDescent="0.2">
      <c r="A412" s="182"/>
      <c r="B412" s="175"/>
      <c r="C412" s="176"/>
      <c r="D412" s="176"/>
      <c r="E412" s="176"/>
      <c r="F412" s="123"/>
      <c r="G412" s="123"/>
      <c r="H412" s="123"/>
      <c r="I412" s="123"/>
      <c r="J412" s="174"/>
      <c r="K412" s="182"/>
      <c r="L412" s="182"/>
      <c r="M412" s="182"/>
      <c r="N412" s="182"/>
      <c r="O412" s="182"/>
      <c r="P412" s="182"/>
      <c r="Q412" s="182"/>
      <c r="R412" s="182"/>
      <c r="S412" s="182"/>
      <c r="T412" s="182"/>
      <c r="U412" s="182"/>
      <c r="V412" s="182"/>
      <c r="W412" s="182"/>
      <c r="X412" s="182"/>
      <c r="Y412" s="182"/>
    </row>
    <row r="413" spans="1:25" ht="15.75" hidden="1" customHeight="1" x14ac:dyDescent="0.2">
      <c r="A413" s="182"/>
      <c r="B413" s="175"/>
      <c r="C413" s="176"/>
      <c r="D413" s="176"/>
      <c r="E413" s="176"/>
      <c r="F413" s="123"/>
      <c r="G413" s="123"/>
      <c r="H413" s="123"/>
      <c r="I413" s="123"/>
      <c r="J413" s="174"/>
      <c r="K413" s="182"/>
      <c r="L413" s="182"/>
      <c r="M413" s="182"/>
      <c r="N413" s="182"/>
      <c r="O413" s="182"/>
      <c r="P413" s="182"/>
      <c r="Q413" s="182"/>
      <c r="R413" s="182"/>
      <c r="S413" s="182"/>
      <c r="T413" s="182"/>
      <c r="U413" s="182"/>
      <c r="V413" s="182"/>
      <c r="W413" s="182"/>
      <c r="X413" s="182"/>
      <c r="Y413" s="182"/>
    </row>
    <row r="414" spans="1:25" ht="15.75" hidden="1" customHeight="1" x14ac:dyDescent="0.2">
      <c r="A414" s="182"/>
      <c r="B414" s="175"/>
      <c r="C414" s="176"/>
      <c r="D414" s="176"/>
      <c r="E414" s="176"/>
      <c r="F414" s="123"/>
      <c r="G414" s="123"/>
      <c r="H414" s="123"/>
      <c r="I414" s="123"/>
      <c r="J414" s="174"/>
      <c r="K414" s="182"/>
      <c r="L414" s="182"/>
      <c r="M414" s="182"/>
      <c r="N414" s="182"/>
      <c r="O414" s="182"/>
      <c r="P414" s="182"/>
      <c r="Q414" s="182"/>
      <c r="R414" s="182"/>
      <c r="S414" s="182"/>
      <c r="T414" s="182"/>
      <c r="U414" s="182"/>
      <c r="V414" s="182"/>
      <c r="W414" s="182"/>
      <c r="X414" s="182"/>
      <c r="Y414" s="182"/>
    </row>
    <row r="415" spans="1:25" ht="15.75" hidden="1" customHeight="1" x14ac:dyDescent="0.2">
      <c r="A415" s="182"/>
      <c r="B415" s="175"/>
      <c r="C415" s="176"/>
      <c r="D415" s="176"/>
      <c r="E415" s="176"/>
      <c r="F415" s="123"/>
      <c r="G415" s="123"/>
      <c r="H415" s="123"/>
      <c r="I415" s="123"/>
      <c r="J415" s="174"/>
      <c r="K415" s="182"/>
      <c r="L415" s="182"/>
      <c r="M415" s="182"/>
      <c r="N415" s="182"/>
      <c r="O415" s="182"/>
      <c r="P415" s="182"/>
      <c r="Q415" s="182"/>
      <c r="R415" s="182"/>
      <c r="S415" s="182"/>
      <c r="T415" s="182"/>
      <c r="U415" s="182"/>
      <c r="V415" s="182"/>
      <c r="W415" s="182"/>
      <c r="X415" s="182"/>
      <c r="Y415" s="182"/>
    </row>
    <row r="416" spans="1:25" ht="15.75" hidden="1" customHeight="1" x14ac:dyDescent="0.2">
      <c r="A416" s="182"/>
      <c r="B416" s="175"/>
      <c r="C416" s="176"/>
      <c r="D416" s="176"/>
      <c r="E416" s="176"/>
      <c r="F416" s="123"/>
      <c r="G416" s="123"/>
      <c r="H416" s="123"/>
      <c r="I416" s="123"/>
      <c r="J416" s="174"/>
      <c r="K416" s="182"/>
      <c r="L416" s="182"/>
      <c r="M416" s="182"/>
      <c r="N416" s="182"/>
      <c r="O416" s="182"/>
      <c r="P416" s="182"/>
      <c r="Q416" s="182"/>
      <c r="R416" s="182"/>
      <c r="S416" s="182"/>
      <c r="T416" s="182"/>
      <c r="U416" s="182"/>
      <c r="V416" s="182"/>
      <c r="W416" s="182"/>
      <c r="X416" s="182"/>
      <c r="Y416" s="182"/>
    </row>
    <row r="417" spans="1:25" ht="15.75" hidden="1" customHeight="1" x14ac:dyDescent="0.2">
      <c r="A417" s="182"/>
      <c r="B417" s="175"/>
      <c r="C417" s="176"/>
      <c r="D417" s="176"/>
      <c r="E417" s="176"/>
      <c r="F417" s="123"/>
      <c r="G417" s="123"/>
      <c r="H417" s="123"/>
      <c r="I417" s="123"/>
      <c r="J417" s="174"/>
      <c r="K417" s="182"/>
      <c r="L417" s="182"/>
      <c r="M417" s="182"/>
      <c r="N417" s="182"/>
      <c r="O417" s="182"/>
      <c r="P417" s="182"/>
      <c r="Q417" s="182"/>
      <c r="R417" s="182"/>
      <c r="S417" s="182"/>
      <c r="T417" s="182"/>
      <c r="U417" s="182"/>
      <c r="V417" s="182"/>
      <c r="W417" s="182"/>
      <c r="X417" s="182"/>
      <c r="Y417" s="182"/>
    </row>
    <row r="418" spans="1:25" ht="15.75" hidden="1" customHeight="1" x14ac:dyDescent="0.2">
      <c r="A418" s="182"/>
      <c r="B418" s="175"/>
      <c r="C418" s="176"/>
      <c r="D418" s="176"/>
      <c r="E418" s="176"/>
      <c r="F418" s="123"/>
      <c r="G418" s="123"/>
      <c r="H418" s="123"/>
      <c r="I418" s="123"/>
      <c r="J418" s="174"/>
      <c r="K418" s="182"/>
      <c r="L418" s="182"/>
      <c r="M418" s="182"/>
      <c r="N418" s="182"/>
      <c r="O418" s="182"/>
      <c r="P418" s="182"/>
      <c r="Q418" s="182"/>
      <c r="R418" s="182"/>
      <c r="S418" s="182"/>
      <c r="T418" s="182"/>
      <c r="U418" s="182"/>
      <c r="V418" s="182"/>
      <c r="W418" s="182"/>
      <c r="X418" s="182"/>
      <c r="Y418" s="182"/>
    </row>
    <row r="419" spans="1:25" ht="15.75" hidden="1" customHeight="1" x14ac:dyDescent="0.2">
      <c r="A419" s="182"/>
      <c r="B419" s="175"/>
      <c r="C419" s="176"/>
      <c r="D419" s="176"/>
      <c r="E419" s="176"/>
      <c r="F419" s="123"/>
      <c r="G419" s="123"/>
      <c r="H419" s="123"/>
      <c r="I419" s="123"/>
      <c r="J419" s="174"/>
      <c r="K419" s="182"/>
      <c r="L419" s="182"/>
      <c r="M419" s="182"/>
      <c r="N419" s="182"/>
      <c r="O419" s="182"/>
      <c r="P419" s="182"/>
      <c r="Q419" s="182"/>
      <c r="R419" s="182"/>
      <c r="S419" s="182"/>
      <c r="T419" s="182"/>
      <c r="U419" s="182"/>
      <c r="V419" s="182"/>
      <c r="W419" s="182"/>
      <c r="X419" s="182"/>
      <c r="Y419" s="182"/>
    </row>
    <row r="420" spans="1:25" ht="15.75" hidden="1" customHeight="1" x14ac:dyDescent="0.2">
      <c r="A420" s="182"/>
      <c r="B420" s="175"/>
      <c r="C420" s="176"/>
      <c r="D420" s="176"/>
      <c r="E420" s="176"/>
      <c r="F420" s="123"/>
      <c r="G420" s="123"/>
      <c r="H420" s="123"/>
      <c r="I420" s="123"/>
      <c r="J420" s="174"/>
      <c r="K420" s="182"/>
      <c r="L420" s="182"/>
      <c r="M420" s="182"/>
      <c r="N420" s="182"/>
      <c r="O420" s="182"/>
      <c r="P420" s="182"/>
      <c r="Q420" s="182"/>
      <c r="R420" s="182"/>
      <c r="S420" s="182"/>
      <c r="T420" s="182"/>
      <c r="U420" s="182"/>
      <c r="V420" s="182"/>
      <c r="W420" s="182"/>
      <c r="X420" s="182"/>
      <c r="Y420" s="182"/>
    </row>
    <row r="421" spans="1:25" ht="15.75" hidden="1" customHeight="1" x14ac:dyDescent="0.2">
      <c r="A421" s="182"/>
      <c r="B421" s="175"/>
      <c r="C421" s="176"/>
      <c r="D421" s="176"/>
      <c r="E421" s="176"/>
      <c r="F421" s="123"/>
      <c r="G421" s="123"/>
      <c r="H421" s="123"/>
      <c r="I421" s="123"/>
      <c r="J421" s="174"/>
      <c r="K421" s="182"/>
      <c r="L421" s="182"/>
      <c r="M421" s="182"/>
      <c r="N421" s="182"/>
      <c r="O421" s="182"/>
      <c r="P421" s="182"/>
      <c r="Q421" s="182"/>
      <c r="R421" s="182"/>
      <c r="S421" s="182"/>
      <c r="T421" s="182"/>
      <c r="U421" s="182"/>
      <c r="V421" s="182"/>
      <c r="W421" s="182"/>
      <c r="X421" s="182"/>
      <c r="Y421" s="182"/>
    </row>
    <row r="422" spans="1:25" ht="15.75" hidden="1" customHeight="1" x14ac:dyDescent="0.2">
      <c r="A422" s="182"/>
      <c r="B422" s="175"/>
      <c r="C422" s="176"/>
      <c r="D422" s="176"/>
      <c r="E422" s="176"/>
      <c r="F422" s="123"/>
      <c r="G422" s="123"/>
      <c r="H422" s="123"/>
      <c r="I422" s="123"/>
      <c r="J422" s="174"/>
      <c r="K422" s="182"/>
      <c r="L422" s="182"/>
      <c r="M422" s="182"/>
      <c r="N422" s="182"/>
      <c r="O422" s="182"/>
      <c r="P422" s="182"/>
      <c r="Q422" s="182"/>
      <c r="R422" s="182"/>
      <c r="S422" s="182"/>
      <c r="T422" s="182"/>
      <c r="U422" s="182"/>
      <c r="V422" s="182"/>
      <c r="W422" s="182"/>
      <c r="X422" s="182"/>
      <c r="Y422" s="182"/>
    </row>
    <row r="423" spans="1:25" ht="15.75" hidden="1" customHeight="1" x14ac:dyDescent="0.2">
      <c r="A423" s="182"/>
      <c r="B423" s="175"/>
      <c r="C423" s="176"/>
      <c r="D423" s="176"/>
      <c r="E423" s="176"/>
      <c r="F423" s="123"/>
      <c r="G423" s="123"/>
      <c r="H423" s="123"/>
      <c r="I423" s="123"/>
      <c r="J423" s="174"/>
      <c r="K423" s="182"/>
      <c r="L423" s="182"/>
      <c r="M423" s="182"/>
      <c r="N423" s="182"/>
      <c r="O423" s="182"/>
      <c r="P423" s="182"/>
      <c r="Q423" s="182"/>
      <c r="R423" s="182"/>
      <c r="S423" s="182"/>
      <c r="T423" s="182"/>
      <c r="U423" s="182"/>
      <c r="V423" s="182"/>
      <c r="W423" s="182"/>
      <c r="X423" s="182"/>
      <c r="Y423" s="182"/>
    </row>
    <row r="424" spans="1:25" ht="15.75" hidden="1" customHeight="1" x14ac:dyDescent="0.2">
      <c r="A424" s="182"/>
      <c r="B424" s="175"/>
      <c r="C424" s="176"/>
      <c r="D424" s="176"/>
      <c r="E424" s="176"/>
      <c r="F424" s="123"/>
      <c r="G424" s="123"/>
      <c r="H424" s="123"/>
      <c r="I424" s="123"/>
      <c r="J424" s="174"/>
      <c r="K424" s="182"/>
      <c r="L424" s="182"/>
      <c r="M424" s="182"/>
      <c r="N424" s="182"/>
      <c r="O424" s="182"/>
      <c r="P424" s="182"/>
      <c r="Q424" s="182"/>
      <c r="R424" s="182"/>
      <c r="S424" s="182"/>
      <c r="T424" s="182"/>
      <c r="U424" s="182"/>
      <c r="V424" s="182"/>
      <c r="W424" s="182"/>
      <c r="X424" s="182"/>
      <c r="Y424" s="182"/>
    </row>
    <row r="425" spans="1:25" ht="15.75" hidden="1" customHeight="1" x14ac:dyDescent="0.2">
      <c r="A425" s="182"/>
      <c r="B425" s="175"/>
      <c r="C425" s="176"/>
      <c r="D425" s="176"/>
      <c r="E425" s="176"/>
      <c r="F425" s="123"/>
      <c r="G425" s="123"/>
      <c r="H425" s="123"/>
      <c r="I425" s="123"/>
      <c r="J425" s="174"/>
      <c r="K425" s="182"/>
      <c r="L425" s="182"/>
      <c r="M425" s="182"/>
      <c r="N425" s="182"/>
      <c r="O425" s="182"/>
      <c r="P425" s="182"/>
      <c r="Q425" s="182"/>
      <c r="R425" s="182"/>
      <c r="S425" s="182"/>
      <c r="T425" s="182"/>
      <c r="U425" s="182"/>
      <c r="V425" s="182"/>
      <c r="W425" s="182"/>
      <c r="X425" s="182"/>
      <c r="Y425" s="182"/>
    </row>
    <row r="426" spans="1:25" ht="15.75" hidden="1" customHeight="1" x14ac:dyDescent="0.2">
      <c r="A426" s="182"/>
      <c r="B426" s="175"/>
      <c r="C426" s="176"/>
      <c r="D426" s="176"/>
      <c r="E426" s="176"/>
      <c r="F426" s="123"/>
      <c r="G426" s="123"/>
      <c r="H426" s="123"/>
      <c r="I426" s="123"/>
      <c r="J426" s="174"/>
      <c r="K426" s="182"/>
      <c r="L426" s="182"/>
      <c r="M426" s="182"/>
      <c r="N426" s="182"/>
      <c r="O426" s="182"/>
      <c r="P426" s="182"/>
      <c r="Q426" s="182"/>
      <c r="R426" s="182"/>
      <c r="S426" s="182"/>
      <c r="T426" s="182"/>
      <c r="U426" s="182"/>
      <c r="V426" s="182"/>
      <c r="W426" s="182"/>
      <c r="X426" s="182"/>
      <c r="Y426" s="182"/>
    </row>
    <row r="427" spans="1:25" ht="15.75" hidden="1" customHeight="1" x14ac:dyDescent="0.2">
      <c r="A427" s="182"/>
      <c r="B427" s="175"/>
      <c r="C427" s="176"/>
      <c r="D427" s="176"/>
      <c r="E427" s="176"/>
      <c r="F427" s="123"/>
      <c r="G427" s="123"/>
      <c r="H427" s="123"/>
      <c r="I427" s="123"/>
      <c r="J427" s="174"/>
      <c r="K427" s="182"/>
      <c r="L427" s="182"/>
      <c r="M427" s="182"/>
      <c r="N427" s="182"/>
      <c r="O427" s="182"/>
      <c r="P427" s="182"/>
      <c r="Q427" s="182"/>
      <c r="R427" s="182"/>
      <c r="S427" s="182"/>
      <c r="T427" s="182"/>
      <c r="U427" s="182"/>
      <c r="V427" s="182"/>
      <c r="W427" s="182"/>
      <c r="X427" s="182"/>
      <c r="Y427" s="182"/>
    </row>
    <row r="428" spans="1:25" ht="15.75" hidden="1" customHeight="1" x14ac:dyDescent="0.2">
      <c r="A428" s="182"/>
      <c r="B428" s="175"/>
      <c r="C428" s="176"/>
      <c r="D428" s="176"/>
      <c r="E428" s="176"/>
      <c r="F428" s="123"/>
      <c r="G428" s="123"/>
      <c r="H428" s="123"/>
      <c r="I428" s="123"/>
      <c r="J428" s="174"/>
      <c r="K428" s="182"/>
      <c r="L428" s="182"/>
      <c r="M428" s="182"/>
      <c r="N428" s="182"/>
      <c r="O428" s="182"/>
      <c r="P428" s="182"/>
      <c r="Q428" s="182"/>
      <c r="R428" s="182"/>
      <c r="S428" s="182"/>
      <c r="T428" s="182"/>
      <c r="U428" s="182"/>
      <c r="V428" s="182"/>
      <c r="W428" s="182"/>
      <c r="X428" s="182"/>
      <c r="Y428" s="182"/>
    </row>
    <row r="429" spans="1:25" ht="15.75" hidden="1" customHeight="1" x14ac:dyDescent="0.2">
      <c r="A429" s="182"/>
      <c r="B429" s="175"/>
      <c r="C429" s="176"/>
      <c r="D429" s="176"/>
      <c r="E429" s="176"/>
      <c r="F429" s="123"/>
      <c r="G429" s="123"/>
      <c r="H429" s="123"/>
      <c r="I429" s="123"/>
      <c r="J429" s="174"/>
      <c r="K429" s="182"/>
      <c r="L429" s="182"/>
      <c r="M429" s="182"/>
      <c r="N429" s="182"/>
      <c r="O429" s="182"/>
      <c r="P429" s="182"/>
      <c r="Q429" s="182"/>
      <c r="R429" s="182"/>
      <c r="S429" s="182"/>
      <c r="T429" s="182"/>
      <c r="U429" s="182"/>
      <c r="V429" s="182"/>
      <c r="W429" s="182"/>
      <c r="X429" s="182"/>
      <c r="Y429" s="182"/>
    </row>
    <row r="430" spans="1:25" ht="15.75" hidden="1" customHeight="1" x14ac:dyDescent="0.2">
      <c r="A430" s="182"/>
      <c r="B430" s="175"/>
      <c r="C430" s="176"/>
      <c r="D430" s="176"/>
      <c r="E430" s="176"/>
      <c r="F430" s="123"/>
      <c r="G430" s="123"/>
      <c r="H430" s="123"/>
      <c r="I430" s="123"/>
      <c r="J430" s="174"/>
      <c r="K430" s="182"/>
      <c r="L430" s="182"/>
      <c r="M430" s="182"/>
      <c r="N430" s="182"/>
      <c r="O430" s="182"/>
      <c r="P430" s="182"/>
      <c r="Q430" s="182"/>
      <c r="R430" s="182"/>
      <c r="S430" s="182"/>
      <c r="T430" s="182"/>
      <c r="U430" s="182"/>
      <c r="V430" s="182"/>
      <c r="W430" s="182"/>
      <c r="X430" s="182"/>
      <c r="Y430" s="182"/>
    </row>
    <row r="431" spans="1:25" ht="15.75" hidden="1" customHeight="1" x14ac:dyDescent="0.2">
      <c r="A431" s="182"/>
      <c r="B431" s="175"/>
      <c r="C431" s="176"/>
      <c r="D431" s="176"/>
      <c r="E431" s="176"/>
      <c r="F431" s="123"/>
      <c r="G431" s="123"/>
      <c r="H431" s="123"/>
      <c r="I431" s="123"/>
      <c r="J431" s="174"/>
      <c r="K431" s="182"/>
      <c r="L431" s="182"/>
      <c r="M431" s="182"/>
      <c r="N431" s="182"/>
      <c r="O431" s="182"/>
      <c r="P431" s="182"/>
      <c r="Q431" s="182"/>
      <c r="R431" s="182"/>
      <c r="S431" s="182"/>
      <c r="T431" s="182"/>
      <c r="U431" s="182"/>
      <c r="V431" s="182"/>
      <c r="W431" s="182"/>
      <c r="X431" s="182"/>
      <c r="Y431" s="182"/>
    </row>
    <row r="432" spans="1:25" ht="15.75" hidden="1" customHeight="1" x14ac:dyDescent="0.2">
      <c r="A432" s="182"/>
      <c r="B432" s="175"/>
      <c r="C432" s="176"/>
      <c r="D432" s="176"/>
      <c r="E432" s="176"/>
      <c r="F432" s="123"/>
      <c r="G432" s="123"/>
      <c r="H432" s="123"/>
      <c r="I432" s="123"/>
      <c r="J432" s="174"/>
      <c r="K432" s="182"/>
      <c r="L432" s="182"/>
      <c r="M432" s="182"/>
      <c r="N432" s="182"/>
      <c r="O432" s="182"/>
      <c r="P432" s="182"/>
      <c r="Q432" s="182"/>
      <c r="R432" s="182"/>
      <c r="S432" s="182"/>
      <c r="T432" s="182"/>
      <c r="U432" s="182"/>
      <c r="V432" s="182"/>
      <c r="W432" s="182"/>
      <c r="X432" s="182"/>
      <c r="Y432" s="182"/>
    </row>
    <row r="433" spans="1:25" ht="15.75" hidden="1" customHeight="1" x14ac:dyDescent="0.2">
      <c r="A433" s="182"/>
      <c r="B433" s="175"/>
      <c r="C433" s="176"/>
      <c r="D433" s="176"/>
      <c r="E433" s="176"/>
      <c r="F433" s="123"/>
      <c r="G433" s="123"/>
      <c r="H433" s="123"/>
      <c r="I433" s="123"/>
      <c r="J433" s="174"/>
      <c r="K433" s="182"/>
      <c r="L433" s="182"/>
      <c r="M433" s="182"/>
      <c r="N433" s="182"/>
      <c r="O433" s="182"/>
      <c r="P433" s="182"/>
      <c r="Q433" s="182"/>
      <c r="R433" s="182"/>
      <c r="S433" s="182"/>
      <c r="T433" s="182"/>
      <c r="U433" s="182"/>
      <c r="V433" s="182"/>
      <c r="W433" s="182"/>
      <c r="X433" s="182"/>
      <c r="Y433" s="182"/>
    </row>
    <row r="434" spans="1:25" ht="15.75" hidden="1" customHeight="1" x14ac:dyDescent="0.2">
      <c r="A434" s="182"/>
      <c r="B434" s="175"/>
      <c r="C434" s="176"/>
      <c r="D434" s="176"/>
      <c r="E434" s="176"/>
      <c r="F434" s="123"/>
      <c r="G434" s="123"/>
      <c r="H434" s="123"/>
      <c r="I434" s="123"/>
      <c r="J434" s="174"/>
      <c r="K434" s="182"/>
      <c r="L434" s="182"/>
      <c r="M434" s="182"/>
      <c r="N434" s="182"/>
      <c r="O434" s="182"/>
      <c r="P434" s="182"/>
      <c r="Q434" s="182"/>
      <c r="R434" s="182"/>
      <c r="S434" s="182"/>
      <c r="T434" s="182"/>
      <c r="U434" s="182"/>
      <c r="V434" s="182"/>
      <c r="W434" s="182"/>
      <c r="X434" s="182"/>
      <c r="Y434" s="182"/>
    </row>
    <row r="435" spans="1:25" ht="15.75" hidden="1" customHeight="1" x14ac:dyDescent="0.2">
      <c r="A435" s="182"/>
      <c r="B435" s="175"/>
      <c r="C435" s="176"/>
      <c r="D435" s="176"/>
      <c r="E435" s="176"/>
      <c r="F435" s="123"/>
      <c r="G435" s="123"/>
      <c r="H435" s="123"/>
      <c r="I435" s="123"/>
      <c r="J435" s="174"/>
      <c r="K435" s="182"/>
      <c r="L435" s="182"/>
      <c r="M435" s="182"/>
      <c r="N435" s="182"/>
      <c r="O435" s="182"/>
      <c r="P435" s="182"/>
      <c r="Q435" s="182"/>
      <c r="R435" s="182"/>
      <c r="S435" s="182"/>
      <c r="T435" s="182"/>
      <c r="U435" s="182"/>
      <c r="V435" s="182"/>
      <c r="W435" s="182"/>
      <c r="X435" s="182"/>
      <c r="Y435" s="182"/>
    </row>
    <row r="436" spans="1:25" ht="15.75" hidden="1" customHeight="1" x14ac:dyDescent="0.2">
      <c r="A436" s="182"/>
      <c r="B436" s="175"/>
      <c r="C436" s="176"/>
      <c r="D436" s="176"/>
      <c r="E436" s="176"/>
      <c r="F436" s="123"/>
      <c r="G436" s="123"/>
      <c r="H436" s="123"/>
      <c r="I436" s="123"/>
      <c r="J436" s="174"/>
      <c r="K436" s="182"/>
      <c r="L436" s="182"/>
      <c r="M436" s="182"/>
      <c r="N436" s="182"/>
      <c r="O436" s="182"/>
      <c r="P436" s="182"/>
      <c r="Q436" s="182"/>
      <c r="R436" s="182"/>
      <c r="S436" s="182"/>
      <c r="T436" s="182"/>
      <c r="U436" s="182"/>
      <c r="V436" s="182"/>
      <c r="W436" s="182"/>
      <c r="X436" s="182"/>
      <c r="Y436" s="182"/>
    </row>
    <row r="437" spans="1:25" ht="15.75" hidden="1" customHeight="1" x14ac:dyDescent="0.2">
      <c r="A437" s="182"/>
      <c r="B437" s="175"/>
      <c r="C437" s="176"/>
      <c r="D437" s="176"/>
      <c r="E437" s="176"/>
      <c r="F437" s="123"/>
      <c r="G437" s="123"/>
      <c r="H437" s="123"/>
      <c r="I437" s="123"/>
      <c r="J437" s="174"/>
      <c r="K437" s="182"/>
      <c r="L437" s="182"/>
      <c r="M437" s="182"/>
      <c r="N437" s="182"/>
      <c r="O437" s="182"/>
      <c r="P437" s="182"/>
      <c r="Q437" s="182"/>
      <c r="R437" s="182"/>
      <c r="S437" s="182"/>
      <c r="T437" s="182"/>
      <c r="U437" s="182"/>
      <c r="V437" s="182"/>
      <c r="W437" s="182"/>
      <c r="X437" s="182"/>
      <c r="Y437" s="182"/>
    </row>
    <row r="438" spans="1:25" ht="15.75" hidden="1" customHeight="1" x14ac:dyDescent="0.2">
      <c r="A438" s="182"/>
      <c r="B438" s="175"/>
      <c r="C438" s="176"/>
      <c r="D438" s="176"/>
      <c r="E438" s="176"/>
      <c r="F438" s="123"/>
      <c r="G438" s="123"/>
      <c r="H438" s="123"/>
      <c r="I438" s="123"/>
      <c r="J438" s="174"/>
      <c r="K438" s="182"/>
      <c r="L438" s="182"/>
      <c r="M438" s="182"/>
      <c r="N438" s="182"/>
      <c r="O438" s="182"/>
      <c r="P438" s="182"/>
      <c r="Q438" s="182"/>
      <c r="R438" s="182"/>
      <c r="S438" s="182"/>
      <c r="T438" s="182"/>
      <c r="U438" s="182"/>
      <c r="V438" s="182"/>
      <c r="W438" s="182"/>
      <c r="X438" s="182"/>
      <c r="Y438" s="182"/>
    </row>
    <row r="439" spans="1:25" ht="15.75" hidden="1" customHeight="1" x14ac:dyDescent="0.2">
      <c r="A439" s="182"/>
      <c r="B439" s="175"/>
      <c r="C439" s="176"/>
      <c r="D439" s="176"/>
      <c r="E439" s="176"/>
      <c r="F439" s="123"/>
      <c r="G439" s="123"/>
      <c r="H439" s="123"/>
      <c r="I439" s="123"/>
      <c r="J439" s="174"/>
      <c r="K439" s="182"/>
      <c r="L439" s="182"/>
      <c r="M439" s="182"/>
      <c r="N439" s="182"/>
      <c r="O439" s="182"/>
      <c r="P439" s="182"/>
      <c r="Q439" s="182"/>
      <c r="R439" s="182"/>
      <c r="S439" s="182"/>
      <c r="T439" s="182"/>
      <c r="U439" s="182"/>
      <c r="V439" s="182"/>
      <c r="W439" s="182"/>
      <c r="X439" s="182"/>
      <c r="Y439" s="182"/>
    </row>
    <row r="440" spans="1:25" ht="15.75" hidden="1" customHeight="1" x14ac:dyDescent="0.2">
      <c r="A440" s="182"/>
      <c r="B440" s="175"/>
      <c r="C440" s="176"/>
      <c r="D440" s="176"/>
      <c r="E440" s="176"/>
      <c r="F440" s="123"/>
      <c r="G440" s="123"/>
      <c r="H440" s="123"/>
      <c r="I440" s="123"/>
      <c r="J440" s="174"/>
      <c r="K440" s="182"/>
      <c r="L440" s="182"/>
      <c r="M440" s="182"/>
      <c r="N440" s="182"/>
      <c r="O440" s="182"/>
      <c r="P440" s="182"/>
      <c r="Q440" s="182"/>
      <c r="R440" s="182"/>
      <c r="S440" s="182"/>
      <c r="T440" s="182"/>
      <c r="U440" s="182"/>
      <c r="V440" s="182"/>
      <c r="W440" s="182"/>
      <c r="X440" s="182"/>
      <c r="Y440" s="182"/>
    </row>
    <row r="441" spans="1:25" ht="15.75" hidden="1" customHeight="1" x14ac:dyDescent="0.2">
      <c r="A441" s="182"/>
      <c r="B441" s="175"/>
      <c r="C441" s="176"/>
      <c r="D441" s="176"/>
      <c r="E441" s="176"/>
      <c r="F441" s="123"/>
      <c r="G441" s="123"/>
      <c r="H441" s="123"/>
      <c r="I441" s="123"/>
      <c r="J441" s="174"/>
      <c r="K441" s="182"/>
      <c r="L441" s="182"/>
      <c r="M441" s="182"/>
      <c r="N441" s="182"/>
      <c r="O441" s="182"/>
      <c r="P441" s="182"/>
      <c r="Q441" s="182"/>
      <c r="R441" s="182"/>
      <c r="S441" s="182"/>
      <c r="T441" s="182"/>
      <c r="U441" s="182"/>
      <c r="V441" s="182"/>
      <c r="W441" s="182"/>
      <c r="X441" s="182"/>
      <c r="Y441" s="182"/>
    </row>
    <row r="442" spans="1:25" ht="15.75" hidden="1" customHeight="1" x14ac:dyDescent="0.2">
      <c r="A442" s="182"/>
      <c r="B442" s="175"/>
      <c r="C442" s="176"/>
      <c r="D442" s="176"/>
      <c r="E442" s="176"/>
      <c r="F442" s="123"/>
      <c r="G442" s="123"/>
      <c r="H442" s="123"/>
      <c r="I442" s="123"/>
      <c r="J442" s="174"/>
      <c r="K442" s="182"/>
      <c r="L442" s="182"/>
      <c r="M442" s="182"/>
      <c r="N442" s="182"/>
      <c r="O442" s="182"/>
      <c r="P442" s="182"/>
      <c r="Q442" s="182"/>
      <c r="R442" s="182"/>
      <c r="S442" s="182"/>
      <c r="T442" s="182"/>
      <c r="U442" s="182"/>
      <c r="V442" s="182"/>
      <c r="W442" s="182"/>
      <c r="X442" s="182"/>
      <c r="Y442" s="182"/>
    </row>
    <row r="443" spans="1:25" ht="15.75" hidden="1" customHeight="1" x14ac:dyDescent="0.2">
      <c r="A443" s="182"/>
      <c r="B443" s="175"/>
      <c r="C443" s="176"/>
      <c r="D443" s="176"/>
      <c r="E443" s="176"/>
      <c r="F443" s="123"/>
      <c r="G443" s="123"/>
      <c r="H443" s="123"/>
      <c r="I443" s="123"/>
      <c r="J443" s="174"/>
      <c r="K443" s="182"/>
      <c r="L443" s="182"/>
      <c r="M443" s="182"/>
      <c r="N443" s="182"/>
      <c r="O443" s="182"/>
      <c r="P443" s="182"/>
      <c r="Q443" s="182"/>
      <c r="R443" s="182"/>
      <c r="S443" s="182"/>
      <c r="T443" s="182"/>
      <c r="U443" s="182"/>
      <c r="V443" s="182"/>
      <c r="W443" s="182"/>
      <c r="X443" s="182"/>
      <c r="Y443" s="182"/>
    </row>
    <row r="444" spans="1:25" ht="15.75" hidden="1" customHeight="1" x14ac:dyDescent="0.2">
      <c r="A444" s="182"/>
      <c r="B444" s="175"/>
      <c r="C444" s="176"/>
      <c r="D444" s="176"/>
      <c r="E444" s="176"/>
      <c r="F444" s="123"/>
      <c r="G444" s="123"/>
      <c r="H444" s="123"/>
      <c r="I444" s="123"/>
      <c r="J444" s="174"/>
      <c r="K444" s="182"/>
      <c r="L444" s="182"/>
      <c r="M444" s="182"/>
      <c r="N444" s="182"/>
      <c r="O444" s="182"/>
      <c r="P444" s="182"/>
      <c r="Q444" s="182"/>
      <c r="R444" s="182"/>
      <c r="S444" s="182"/>
      <c r="T444" s="182"/>
      <c r="U444" s="182"/>
      <c r="V444" s="182"/>
      <c r="W444" s="182"/>
      <c r="X444" s="182"/>
      <c r="Y444" s="182"/>
    </row>
    <row r="445" spans="1:25" ht="15.75" hidden="1" customHeight="1" x14ac:dyDescent="0.2">
      <c r="A445" s="182"/>
      <c r="B445" s="175"/>
      <c r="C445" s="176"/>
      <c r="D445" s="176"/>
      <c r="E445" s="176"/>
      <c r="F445" s="123"/>
      <c r="G445" s="123"/>
      <c r="H445" s="123"/>
      <c r="I445" s="123"/>
      <c r="J445" s="174"/>
      <c r="K445" s="182"/>
      <c r="L445" s="182"/>
      <c r="M445" s="182"/>
      <c r="N445" s="182"/>
      <c r="O445" s="182"/>
      <c r="P445" s="182"/>
      <c r="Q445" s="182"/>
      <c r="R445" s="182"/>
      <c r="S445" s="182"/>
      <c r="T445" s="182"/>
      <c r="U445" s="182"/>
      <c r="V445" s="182"/>
      <c r="W445" s="182"/>
      <c r="X445" s="182"/>
      <c r="Y445" s="182"/>
    </row>
    <row r="446" spans="1:25" ht="15.75" hidden="1" customHeight="1" x14ac:dyDescent="0.2">
      <c r="A446" s="182"/>
      <c r="B446" s="175"/>
      <c r="C446" s="176"/>
      <c r="D446" s="176"/>
      <c r="E446" s="176"/>
      <c r="F446" s="123"/>
      <c r="G446" s="123"/>
      <c r="H446" s="123"/>
      <c r="I446" s="123"/>
      <c r="J446" s="174"/>
      <c r="K446" s="182"/>
      <c r="L446" s="182"/>
      <c r="M446" s="182"/>
      <c r="N446" s="182"/>
      <c r="O446" s="182"/>
      <c r="P446" s="182"/>
      <c r="Q446" s="182"/>
      <c r="R446" s="182"/>
      <c r="S446" s="182"/>
      <c r="T446" s="182"/>
      <c r="U446" s="182"/>
      <c r="V446" s="182"/>
      <c r="W446" s="182"/>
      <c r="X446" s="182"/>
      <c r="Y446" s="182"/>
    </row>
    <row r="447" spans="1:25" ht="15.75" hidden="1" customHeight="1" x14ac:dyDescent="0.2">
      <c r="A447" s="182"/>
      <c r="B447" s="175"/>
      <c r="C447" s="176"/>
      <c r="D447" s="176"/>
      <c r="E447" s="176"/>
      <c r="F447" s="123"/>
      <c r="G447" s="123"/>
      <c r="H447" s="123"/>
      <c r="I447" s="123"/>
      <c r="J447" s="174"/>
      <c r="K447" s="182"/>
      <c r="L447" s="182"/>
      <c r="M447" s="182"/>
      <c r="N447" s="182"/>
      <c r="O447" s="182"/>
      <c r="P447" s="182"/>
      <c r="Q447" s="182"/>
      <c r="R447" s="182"/>
      <c r="S447" s="182"/>
      <c r="T447" s="182"/>
      <c r="U447" s="182"/>
      <c r="V447" s="182"/>
      <c r="W447" s="182"/>
      <c r="X447" s="182"/>
      <c r="Y447" s="182"/>
    </row>
    <row r="448" spans="1:25" ht="15.75" hidden="1" customHeight="1" x14ac:dyDescent="0.2">
      <c r="A448" s="182"/>
      <c r="B448" s="175"/>
      <c r="C448" s="176"/>
      <c r="D448" s="176"/>
      <c r="E448" s="176"/>
      <c r="F448" s="123"/>
      <c r="G448" s="123"/>
      <c r="H448" s="123"/>
      <c r="I448" s="123"/>
      <c r="J448" s="174"/>
      <c r="K448" s="182"/>
      <c r="L448" s="182"/>
      <c r="M448" s="182"/>
      <c r="N448" s="182"/>
      <c r="O448" s="182"/>
      <c r="P448" s="182"/>
      <c r="Q448" s="182"/>
      <c r="R448" s="182"/>
      <c r="S448" s="182"/>
      <c r="T448" s="182"/>
      <c r="U448" s="182"/>
      <c r="V448" s="182"/>
      <c r="W448" s="182"/>
      <c r="X448" s="182"/>
      <c r="Y448" s="182"/>
    </row>
    <row r="449" spans="1:25" ht="15.75" hidden="1" customHeight="1" x14ac:dyDescent="0.2">
      <c r="A449" s="182"/>
      <c r="B449" s="175"/>
      <c r="C449" s="176"/>
      <c r="D449" s="176"/>
      <c r="E449" s="176"/>
      <c r="F449" s="123"/>
      <c r="G449" s="123"/>
      <c r="H449" s="123"/>
      <c r="I449" s="123"/>
      <c r="J449" s="174"/>
      <c r="K449" s="182"/>
      <c r="L449" s="182"/>
      <c r="M449" s="182"/>
      <c r="N449" s="182"/>
      <c r="O449" s="182"/>
      <c r="P449" s="182"/>
      <c r="Q449" s="182"/>
      <c r="R449" s="182"/>
      <c r="S449" s="182"/>
      <c r="T449" s="182"/>
      <c r="U449" s="182"/>
      <c r="V449" s="182"/>
      <c r="W449" s="182"/>
      <c r="X449" s="182"/>
      <c r="Y449" s="182"/>
    </row>
    <row r="450" spans="1:25" ht="15.75" hidden="1" customHeight="1" x14ac:dyDescent="0.2">
      <c r="A450" s="182"/>
      <c r="B450" s="175"/>
      <c r="C450" s="176"/>
      <c r="D450" s="176"/>
      <c r="E450" s="176"/>
      <c r="F450" s="123"/>
      <c r="G450" s="123"/>
      <c r="H450" s="123"/>
      <c r="I450" s="123"/>
      <c r="J450" s="174"/>
      <c r="K450" s="182"/>
      <c r="L450" s="182"/>
      <c r="M450" s="182"/>
      <c r="N450" s="182"/>
      <c r="O450" s="182"/>
      <c r="P450" s="182"/>
      <c r="Q450" s="182"/>
      <c r="R450" s="182"/>
      <c r="S450" s="182"/>
      <c r="T450" s="182"/>
      <c r="U450" s="182"/>
      <c r="V450" s="182"/>
      <c r="W450" s="182"/>
      <c r="X450" s="182"/>
      <c r="Y450" s="182"/>
    </row>
    <row r="451" spans="1:25" ht="15.75" hidden="1" customHeight="1" x14ac:dyDescent="0.2">
      <c r="A451" s="182"/>
      <c r="B451" s="175"/>
      <c r="C451" s="176"/>
      <c r="D451" s="176"/>
      <c r="E451" s="176"/>
      <c r="F451" s="123"/>
      <c r="G451" s="123"/>
      <c r="H451" s="123"/>
      <c r="I451" s="123"/>
      <c r="J451" s="174"/>
      <c r="K451" s="182"/>
      <c r="L451" s="182"/>
      <c r="M451" s="182"/>
      <c r="N451" s="182"/>
      <c r="O451" s="182"/>
      <c r="P451" s="182"/>
      <c r="Q451" s="182"/>
      <c r="R451" s="182"/>
      <c r="S451" s="182"/>
      <c r="T451" s="182"/>
      <c r="U451" s="182"/>
      <c r="V451" s="182"/>
      <c r="W451" s="182"/>
      <c r="X451" s="182"/>
      <c r="Y451" s="182"/>
    </row>
    <row r="452" spans="1:25" ht="15.75" hidden="1" customHeight="1" x14ac:dyDescent="0.2">
      <c r="A452" s="182"/>
      <c r="B452" s="175"/>
      <c r="C452" s="176"/>
      <c r="D452" s="176"/>
      <c r="E452" s="176"/>
      <c r="F452" s="123"/>
      <c r="G452" s="123"/>
      <c r="H452" s="123"/>
      <c r="I452" s="123"/>
      <c r="J452" s="174"/>
      <c r="K452" s="182"/>
      <c r="L452" s="182"/>
      <c r="M452" s="182"/>
      <c r="N452" s="182"/>
      <c r="O452" s="182"/>
      <c r="P452" s="182"/>
      <c r="Q452" s="182"/>
      <c r="R452" s="182"/>
      <c r="S452" s="182"/>
      <c r="T452" s="182"/>
      <c r="U452" s="182"/>
      <c r="V452" s="182"/>
      <c r="W452" s="182"/>
      <c r="X452" s="182"/>
      <c r="Y452" s="182"/>
    </row>
    <row r="453" spans="1:25" ht="15.75" hidden="1" customHeight="1" x14ac:dyDescent="0.2">
      <c r="A453" s="182"/>
      <c r="B453" s="175"/>
      <c r="C453" s="176"/>
      <c r="D453" s="176"/>
      <c r="E453" s="176"/>
      <c r="F453" s="123"/>
      <c r="G453" s="123"/>
      <c r="H453" s="123"/>
      <c r="I453" s="123"/>
      <c r="J453" s="174"/>
      <c r="K453" s="182"/>
      <c r="L453" s="182"/>
      <c r="M453" s="182"/>
      <c r="N453" s="182"/>
      <c r="O453" s="182"/>
      <c r="P453" s="182"/>
      <c r="Q453" s="182"/>
      <c r="R453" s="182"/>
      <c r="S453" s="182"/>
      <c r="T453" s="182"/>
      <c r="U453" s="182"/>
      <c r="V453" s="182"/>
      <c r="W453" s="182"/>
      <c r="X453" s="182"/>
      <c r="Y453" s="182"/>
    </row>
    <row r="454" spans="1:25" ht="15.75" hidden="1" customHeight="1" x14ac:dyDescent="0.2">
      <c r="A454" s="182"/>
      <c r="B454" s="175"/>
      <c r="C454" s="176"/>
      <c r="D454" s="176"/>
      <c r="E454" s="176"/>
      <c r="F454" s="123"/>
      <c r="G454" s="123"/>
      <c r="H454" s="123"/>
      <c r="I454" s="123"/>
      <c r="J454" s="174"/>
      <c r="K454" s="182"/>
      <c r="L454" s="182"/>
      <c r="M454" s="182"/>
      <c r="N454" s="182"/>
      <c r="O454" s="182"/>
      <c r="P454" s="182"/>
      <c r="Q454" s="182"/>
      <c r="R454" s="182"/>
      <c r="S454" s="182"/>
      <c r="T454" s="182"/>
      <c r="U454" s="182"/>
      <c r="V454" s="182"/>
      <c r="W454" s="182"/>
      <c r="X454" s="182"/>
      <c r="Y454" s="182"/>
    </row>
    <row r="455" spans="1:25" ht="15.75" hidden="1" customHeight="1" x14ac:dyDescent="0.2">
      <c r="A455" s="182"/>
      <c r="B455" s="175"/>
      <c r="C455" s="176"/>
      <c r="D455" s="176"/>
      <c r="E455" s="176"/>
      <c r="F455" s="123"/>
      <c r="G455" s="123"/>
      <c r="H455" s="123"/>
      <c r="I455" s="123"/>
      <c r="J455" s="174"/>
      <c r="K455" s="182"/>
      <c r="L455" s="182"/>
      <c r="M455" s="182"/>
      <c r="N455" s="182"/>
      <c r="O455" s="182"/>
      <c r="P455" s="182"/>
      <c r="Q455" s="182"/>
      <c r="R455" s="182"/>
      <c r="S455" s="182"/>
      <c r="T455" s="182"/>
      <c r="U455" s="182"/>
      <c r="V455" s="182"/>
      <c r="W455" s="182"/>
      <c r="X455" s="182"/>
      <c r="Y455" s="182"/>
    </row>
    <row r="456" spans="1:25" ht="15.75" hidden="1" customHeight="1" x14ac:dyDescent="0.2">
      <c r="A456" s="182"/>
      <c r="B456" s="175"/>
      <c r="C456" s="176"/>
      <c r="D456" s="176"/>
      <c r="E456" s="176"/>
      <c r="F456" s="123"/>
      <c r="G456" s="123"/>
      <c r="H456" s="123"/>
      <c r="I456" s="123"/>
      <c r="J456" s="174"/>
      <c r="K456" s="182"/>
      <c r="L456" s="182"/>
      <c r="M456" s="182"/>
      <c r="N456" s="182"/>
      <c r="O456" s="182"/>
      <c r="P456" s="182"/>
      <c r="Q456" s="182"/>
      <c r="R456" s="182"/>
      <c r="S456" s="182"/>
      <c r="T456" s="182"/>
      <c r="U456" s="182"/>
      <c r="V456" s="182"/>
      <c r="W456" s="182"/>
      <c r="X456" s="182"/>
      <c r="Y456" s="182"/>
    </row>
    <row r="457" spans="1:25" ht="15.75" hidden="1" customHeight="1" x14ac:dyDescent="0.2">
      <c r="A457" s="182"/>
      <c r="B457" s="175"/>
      <c r="C457" s="176"/>
      <c r="D457" s="176"/>
      <c r="E457" s="176"/>
      <c r="F457" s="123"/>
      <c r="G457" s="123"/>
      <c r="H457" s="123"/>
      <c r="I457" s="123"/>
      <c r="J457" s="174"/>
      <c r="K457" s="182"/>
      <c r="L457" s="182"/>
      <c r="M457" s="182"/>
      <c r="N457" s="182"/>
      <c r="O457" s="182"/>
      <c r="P457" s="182"/>
      <c r="Q457" s="182"/>
      <c r="R457" s="182"/>
      <c r="S457" s="182"/>
      <c r="T457" s="182"/>
      <c r="U457" s="182"/>
      <c r="V457" s="182"/>
      <c r="W457" s="182"/>
      <c r="X457" s="182"/>
      <c r="Y457" s="182"/>
    </row>
    <row r="458" spans="1:25" ht="15.75" hidden="1" customHeight="1" x14ac:dyDescent="0.2">
      <c r="A458" s="182"/>
      <c r="B458" s="175"/>
      <c r="C458" s="176"/>
      <c r="D458" s="176"/>
      <c r="E458" s="176"/>
      <c r="F458" s="123"/>
      <c r="G458" s="123"/>
      <c r="H458" s="123"/>
      <c r="I458" s="123"/>
      <c r="J458" s="174"/>
      <c r="K458" s="182"/>
      <c r="L458" s="182"/>
      <c r="M458" s="182"/>
      <c r="N458" s="182"/>
      <c r="O458" s="182"/>
      <c r="P458" s="182"/>
      <c r="Q458" s="182"/>
      <c r="R458" s="182"/>
      <c r="S458" s="182"/>
      <c r="T458" s="182"/>
      <c r="U458" s="182"/>
      <c r="V458" s="182"/>
      <c r="W458" s="182"/>
      <c r="X458" s="182"/>
      <c r="Y458" s="182"/>
    </row>
    <row r="459" spans="1:25" ht="15.75" hidden="1" customHeight="1" x14ac:dyDescent="0.2">
      <c r="A459" s="182"/>
      <c r="B459" s="175"/>
      <c r="C459" s="176"/>
      <c r="D459" s="176"/>
      <c r="E459" s="176"/>
      <c r="F459" s="123"/>
      <c r="G459" s="123"/>
      <c r="H459" s="123"/>
      <c r="I459" s="123"/>
      <c r="J459" s="174"/>
      <c r="K459" s="182"/>
      <c r="L459" s="182"/>
      <c r="M459" s="182"/>
      <c r="N459" s="182"/>
      <c r="O459" s="182"/>
      <c r="P459" s="182"/>
      <c r="Q459" s="182"/>
      <c r="R459" s="182"/>
      <c r="S459" s="182"/>
      <c r="T459" s="182"/>
      <c r="U459" s="182"/>
      <c r="V459" s="182"/>
      <c r="W459" s="182"/>
      <c r="X459" s="182"/>
      <c r="Y459" s="182"/>
    </row>
    <row r="460" spans="1:25" ht="15.75" hidden="1" customHeight="1" x14ac:dyDescent="0.2">
      <c r="A460" s="182"/>
      <c r="B460" s="175"/>
      <c r="C460" s="176"/>
      <c r="D460" s="176"/>
      <c r="E460" s="176"/>
      <c r="F460" s="123"/>
      <c r="G460" s="123"/>
      <c r="H460" s="123"/>
      <c r="I460" s="123"/>
      <c r="J460" s="174"/>
      <c r="K460" s="182"/>
      <c r="L460" s="182"/>
      <c r="M460" s="182"/>
      <c r="N460" s="182"/>
      <c r="O460" s="182"/>
      <c r="P460" s="182"/>
      <c r="Q460" s="182"/>
      <c r="R460" s="182"/>
      <c r="S460" s="182"/>
      <c r="T460" s="182"/>
      <c r="U460" s="182"/>
      <c r="V460" s="182"/>
      <c r="W460" s="182"/>
      <c r="X460" s="182"/>
      <c r="Y460" s="182"/>
    </row>
    <row r="461" spans="1:25" ht="15.75" hidden="1" customHeight="1" x14ac:dyDescent="0.2">
      <c r="A461" s="182"/>
      <c r="B461" s="175"/>
      <c r="C461" s="176"/>
      <c r="D461" s="176"/>
      <c r="E461" s="176"/>
      <c r="F461" s="123"/>
      <c r="G461" s="123"/>
      <c r="H461" s="123"/>
      <c r="I461" s="123"/>
      <c r="J461" s="174"/>
      <c r="K461" s="182"/>
      <c r="L461" s="182"/>
      <c r="M461" s="182"/>
      <c r="N461" s="182"/>
      <c r="O461" s="182"/>
      <c r="P461" s="182"/>
      <c r="Q461" s="182"/>
      <c r="R461" s="182"/>
      <c r="S461" s="182"/>
      <c r="T461" s="182"/>
      <c r="U461" s="182"/>
      <c r="V461" s="182"/>
      <c r="W461" s="182"/>
      <c r="X461" s="182"/>
      <c r="Y461" s="182"/>
    </row>
    <row r="462" spans="1:25" ht="15.75" hidden="1" customHeight="1" x14ac:dyDescent="0.2">
      <c r="A462" s="182"/>
      <c r="B462" s="175"/>
      <c r="C462" s="176"/>
      <c r="D462" s="176"/>
      <c r="E462" s="176"/>
      <c r="F462" s="123"/>
      <c r="G462" s="123"/>
      <c r="H462" s="123"/>
      <c r="I462" s="123"/>
      <c r="J462" s="174"/>
      <c r="K462" s="182"/>
      <c r="L462" s="182"/>
      <c r="M462" s="182"/>
      <c r="N462" s="182"/>
      <c r="O462" s="182"/>
      <c r="P462" s="182"/>
      <c r="Q462" s="182"/>
      <c r="R462" s="182"/>
      <c r="S462" s="182"/>
      <c r="T462" s="182"/>
      <c r="U462" s="182"/>
      <c r="V462" s="182"/>
      <c r="W462" s="182"/>
      <c r="X462" s="182"/>
      <c r="Y462" s="182"/>
    </row>
    <row r="463" spans="1:25" ht="15.75" hidden="1" customHeight="1" x14ac:dyDescent="0.2">
      <c r="A463" s="182"/>
      <c r="B463" s="175"/>
      <c r="C463" s="176"/>
      <c r="D463" s="176"/>
      <c r="E463" s="176"/>
      <c r="F463" s="123"/>
      <c r="G463" s="123"/>
      <c r="H463" s="123"/>
      <c r="I463" s="123"/>
      <c r="J463" s="174"/>
      <c r="K463" s="182"/>
      <c r="L463" s="182"/>
      <c r="M463" s="182"/>
      <c r="N463" s="182"/>
      <c r="O463" s="182"/>
      <c r="P463" s="182"/>
      <c r="Q463" s="182"/>
      <c r="R463" s="182"/>
      <c r="S463" s="182"/>
      <c r="T463" s="182"/>
      <c r="U463" s="182"/>
      <c r="V463" s="182"/>
      <c r="W463" s="182"/>
      <c r="X463" s="182"/>
      <c r="Y463" s="182"/>
    </row>
    <row r="464" spans="1:25" ht="15.75" hidden="1" customHeight="1" x14ac:dyDescent="0.2">
      <c r="A464" s="182"/>
      <c r="B464" s="175"/>
      <c r="C464" s="176"/>
      <c r="D464" s="176"/>
      <c r="E464" s="176"/>
      <c r="F464" s="123"/>
      <c r="G464" s="123"/>
      <c r="H464" s="123"/>
      <c r="I464" s="123"/>
      <c r="J464" s="174"/>
      <c r="K464" s="182"/>
      <c r="L464" s="182"/>
      <c r="M464" s="182"/>
      <c r="N464" s="182"/>
      <c r="O464" s="182"/>
      <c r="P464" s="182"/>
      <c r="Q464" s="182"/>
      <c r="R464" s="182"/>
      <c r="S464" s="182"/>
      <c r="T464" s="182"/>
      <c r="U464" s="182"/>
      <c r="V464" s="182"/>
      <c r="W464" s="182"/>
      <c r="X464" s="182"/>
      <c r="Y464" s="182"/>
    </row>
    <row r="465" spans="1:25" ht="15.75" hidden="1" customHeight="1" x14ac:dyDescent="0.2">
      <c r="A465" s="182"/>
      <c r="B465" s="175"/>
      <c r="C465" s="176"/>
      <c r="D465" s="176"/>
      <c r="E465" s="176"/>
      <c r="F465" s="123"/>
      <c r="G465" s="123"/>
      <c r="H465" s="123"/>
      <c r="I465" s="123"/>
      <c r="J465" s="174"/>
      <c r="K465" s="182"/>
      <c r="L465" s="182"/>
      <c r="M465" s="182"/>
      <c r="N465" s="182"/>
      <c r="O465" s="182"/>
      <c r="P465" s="182"/>
      <c r="Q465" s="182"/>
      <c r="R465" s="182"/>
      <c r="S465" s="182"/>
      <c r="T465" s="182"/>
      <c r="U465" s="182"/>
      <c r="V465" s="182"/>
      <c r="W465" s="182"/>
      <c r="X465" s="182"/>
      <c r="Y465" s="182"/>
    </row>
    <row r="466" spans="1:25" ht="15.75" hidden="1" customHeight="1" x14ac:dyDescent="0.2">
      <c r="A466" s="182"/>
      <c r="B466" s="175"/>
      <c r="C466" s="176"/>
      <c r="D466" s="176"/>
      <c r="E466" s="176"/>
      <c r="F466" s="123"/>
      <c r="G466" s="123"/>
      <c r="H466" s="123"/>
      <c r="I466" s="123"/>
      <c r="J466" s="174"/>
      <c r="K466" s="182"/>
      <c r="L466" s="182"/>
      <c r="M466" s="182"/>
      <c r="N466" s="182"/>
      <c r="O466" s="182"/>
      <c r="P466" s="182"/>
      <c r="Q466" s="182"/>
      <c r="R466" s="182"/>
      <c r="S466" s="182"/>
      <c r="T466" s="182"/>
      <c r="U466" s="182"/>
      <c r="V466" s="182"/>
      <c r="W466" s="182"/>
      <c r="X466" s="182"/>
      <c r="Y466" s="182"/>
    </row>
    <row r="467" spans="1:25" ht="15.75" hidden="1" customHeight="1" x14ac:dyDescent="0.2">
      <c r="A467" s="182"/>
      <c r="B467" s="175"/>
      <c r="C467" s="176"/>
      <c r="D467" s="176"/>
      <c r="E467" s="176"/>
      <c r="F467" s="123"/>
      <c r="G467" s="123"/>
      <c r="H467" s="123"/>
      <c r="I467" s="123"/>
      <c r="J467" s="174"/>
      <c r="K467" s="182"/>
      <c r="L467" s="182"/>
      <c r="M467" s="182"/>
      <c r="N467" s="182"/>
      <c r="O467" s="182"/>
      <c r="P467" s="182"/>
      <c r="Q467" s="182"/>
      <c r="R467" s="182"/>
      <c r="S467" s="182"/>
      <c r="T467" s="182"/>
      <c r="U467" s="182"/>
      <c r="V467" s="182"/>
      <c r="W467" s="182"/>
      <c r="X467" s="182"/>
      <c r="Y467" s="182"/>
    </row>
    <row r="468" spans="1:25" ht="15.75" hidden="1" customHeight="1" x14ac:dyDescent="0.2">
      <c r="A468" s="182"/>
      <c r="B468" s="175"/>
      <c r="C468" s="176"/>
      <c r="D468" s="176"/>
      <c r="E468" s="176"/>
      <c r="F468" s="123"/>
      <c r="G468" s="123"/>
      <c r="H468" s="123"/>
      <c r="I468" s="123"/>
      <c r="J468" s="174"/>
      <c r="K468" s="182"/>
      <c r="L468" s="182"/>
      <c r="M468" s="182"/>
      <c r="N468" s="182"/>
      <c r="O468" s="182"/>
      <c r="P468" s="182"/>
      <c r="Q468" s="182"/>
      <c r="R468" s="182"/>
      <c r="S468" s="182"/>
      <c r="T468" s="182"/>
      <c r="U468" s="182"/>
      <c r="V468" s="182"/>
      <c r="W468" s="182"/>
      <c r="X468" s="182"/>
      <c r="Y468" s="182"/>
    </row>
    <row r="469" spans="1:25" ht="15.75" hidden="1" customHeight="1" x14ac:dyDescent="0.2">
      <c r="A469" s="182"/>
      <c r="B469" s="175"/>
      <c r="C469" s="176"/>
      <c r="D469" s="176"/>
      <c r="E469" s="176"/>
      <c r="F469" s="123"/>
      <c r="G469" s="123"/>
      <c r="H469" s="123"/>
      <c r="I469" s="123"/>
      <c r="J469" s="174"/>
      <c r="K469" s="182"/>
      <c r="L469" s="182"/>
      <c r="M469" s="182"/>
      <c r="N469" s="182"/>
      <c r="O469" s="182"/>
      <c r="P469" s="182"/>
      <c r="Q469" s="182"/>
      <c r="R469" s="182"/>
      <c r="S469" s="182"/>
      <c r="T469" s="182"/>
      <c r="U469" s="182"/>
      <c r="V469" s="182"/>
      <c r="W469" s="182"/>
      <c r="X469" s="182"/>
      <c r="Y469" s="182"/>
    </row>
    <row r="470" spans="1:25" ht="15.75" hidden="1" customHeight="1" x14ac:dyDescent="0.2">
      <c r="A470" s="182"/>
      <c r="B470" s="175"/>
      <c r="C470" s="176"/>
      <c r="D470" s="176"/>
      <c r="E470" s="176"/>
      <c r="F470" s="123"/>
      <c r="G470" s="123"/>
      <c r="H470" s="123"/>
      <c r="I470" s="123"/>
      <c r="J470" s="174"/>
      <c r="K470" s="182"/>
      <c r="L470" s="182"/>
      <c r="M470" s="182"/>
      <c r="N470" s="182"/>
      <c r="O470" s="182"/>
      <c r="P470" s="182"/>
      <c r="Q470" s="182"/>
      <c r="R470" s="182"/>
      <c r="S470" s="182"/>
      <c r="T470" s="182"/>
      <c r="U470" s="182"/>
      <c r="V470" s="182"/>
      <c r="W470" s="182"/>
      <c r="X470" s="182"/>
      <c r="Y470" s="182"/>
    </row>
    <row r="471" spans="1:25" ht="15.75" hidden="1" customHeight="1" x14ac:dyDescent="0.2">
      <c r="A471" s="182"/>
      <c r="B471" s="175"/>
      <c r="C471" s="176"/>
      <c r="D471" s="176"/>
      <c r="E471" s="176"/>
      <c r="F471" s="123"/>
      <c r="G471" s="123"/>
      <c r="H471" s="123"/>
      <c r="I471" s="123"/>
      <c r="J471" s="174"/>
      <c r="K471" s="182"/>
      <c r="L471" s="182"/>
      <c r="M471" s="182"/>
      <c r="N471" s="182"/>
      <c r="O471" s="182"/>
      <c r="P471" s="182"/>
      <c r="Q471" s="182"/>
      <c r="R471" s="182"/>
      <c r="S471" s="182"/>
      <c r="T471" s="182"/>
      <c r="U471" s="182"/>
      <c r="V471" s="182"/>
      <c r="W471" s="182"/>
      <c r="X471" s="182"/>
      <c r="Y471" s="182"/>
    </row>
    <row r="472" spans="1:25" ht="15.75" hidden="1" customHeight="1" x14ac:dyDescent="0.2">
      <c r="A472" s="182"/>
      <c r="B472" s="175"/>
      <c r="C472" s="176"/>
      <c r="D472" s="176"/>
      <c r="E472" s="176"/>
      <c r="F472" s="123"/>
      <c r="G472" s="123"/>
      <c r="H472" s="123"/>
      <c r="I472" s="123"/>
      <c r="J472" s="174"/>
      <c r="K472" s="182"/>
      <c r="L472" s="182"/>
      <c r="M472" s="182"/>
      <c r="N472" s="182"/>
      <c r="O472" s="182"/>
      <c r="P472" s="182"/>
      <c r="Q472" s="182"/>
      <c r="R472" s="182"/>
      <c r="S472" s="182"/>
      <c r="T472" s="182"/>
      <c r="U472" s="182"/>
      <c r="V472" s="182"/>
      <c r="W472" s="182"/>
      <c r="X472" s="182"/>
      <c r="Y472" s="182"/>
    </row>
    <row r="473" spans="1:25" ht="15.75" hidden="1" customHeight="1" x14ac:dyDescent="0.2">
      <c r="A473" s="182"/>
      <c r="B473" s="175"/>
      <c r="C473" s="176"/>
      <c r="D473" s="176"/>
      <c r="E473" s="176"/>
      <c r="F473" s="123"/>
      <c r="G473" s="123"/>
      <c r="H473" s="123"/>
      <c r="I473" s="123"/>
      <c r="J473" s="174"/>
      <c r="K473" s="182"/>
      <c r="L473" s="182"/>
      <c r="M473" s="182"/>
      <c r="N473" s="182"/>
      <c r="O473" s="182"/>
      <c r="P473" s="182"/>
      <c r="Q473" s="182"/>
      <c r="R473" s="182"/>
      <c r="S473" s="182"/>
      <c r="T473" s="182"/>
      <c r="U473" s="182"/>
      <c r="V473" s="182"/>
      <c r="W473" s="182"/>
      <c r="X473" s="182"/>
      <c r="Y473" s="182"/>
    </row>
    <row r="474" spans="1:25" ht="15.75" hidden="1" customHeight="1" x14ac:dyDescent="0.2">
      <c r="A474" s="182"/>
      <c r="B474" s="175"/>
      <c r="C474" s="176"/>
      <c r="D474" s="176"/>
      <c r="E474" s="176"/>
      <c r="F474" s="123"/>
      <c r="G474" s="123"/>
      <c r="H474" s="123"/>
      <c r="I474" s="123"/>
      <c r="J474" s="174"/>
      <c r="K474" s="182"/>
      <c r="L474" s="182"/>
      <c r="M474" s="182"/>
      <c r="N474" s="182"/>
      <c r="O474" s="182"/>
      <c r="P474" s="182"/>
      <c r="Q474" s="182"/>
      <c r="R474" s="182"/>
      <c r="S474" s="182"/>
      <c r="T474" s="182"/>
      <c r="U474" s="182"/>
      <c r="V474" s="182"/>
      <c r="W474" s="182"/>
      <c r="X474" s="182"/>
      <c r="Y474" s="182"/>
    </row>
    <row r="475" spans="1:25" ht="15.75" hidden="1" customHeight="1" x14ac:dyDescent="0.2">
      <c r="A475" s="182"/>
      <c r="B475" s="175"/>
      <c r="C475" s="176"/>
      <c r="D475" s="176"/>
      <c r="E475" s="176"/>
      <c r="F475" s="123"/>
      <c r="G475" s="123"/>
      <c r="H475" s="123"/>
      <c r="I475" s="123"/>
      <c r="J475" s="174"/>
      <c r="K475" s="182"/>
      <c r="L475" s="182"/>
      <c r="M475" s="182"/>
      <c r="N475" s="182"/>
      <c r="O475" s="182"/>
      <c r="P475" s="182"/>
      <c r="Q475" s="182"/>
      <c r="R475" s="182"/>
      <c r="S475" s="182"/>
      <c r="T475" s="182"/>
      <c r="U475" s="182"/>
      <c r="V475" s="182"/>
      <c r="W475" s="182"/>
      <c r="X475" s="182"/>
      <c r="Y475" s="182"/>
    </row>
    <row r="476" spans="1:25" ht="15.75" hidden="1" customHeight="1" x14ac:dyDescent="0.2">
      <c r="A476" s="182"/>
      <c r="B476" s="175"/>
      <c r="C476" s="176"/>
      <c r="D476" s="176"/>
      <c r="E476" s="176"/>
      <c r="F476" s="123"/>
      <c r="G476" s="123"/>
      <c r="H476" s="123"/>
      <c r="I476" s="123"/>
      <c r="J476" s="174"/>
      <c r="K476" s="182"/>
      <c r="L476" s="182"/>
      <c r="M476" s="182"/>
      <c r="N476" s="182"/>
      <c r="O476" s="182"/>
      <c r="P476" s="182"/>
      <c r="Q476" s="182"/>
      <c r="R476" s="182"/>
      <c r="S476" s="182"/>
      <c r="T476" s="182"/>
      <c r="U476" s="182"/>
      <c r="V476" s="182"/>
      <c r="W476" s="182"/>
      <c r="X476" s="182"/>
      <c r="Y476" s="182"/>
    </row>
    <row r="477" spans="1:25" ht="15.75" hidden="1" customHeight="1" x14ac:dyDescent="0.2">
      <c r="A477" s="182"/>
      <c r="B477" s="175"/>
      <c r="C477" s="176"/>
      <c r="D477" s="176"/>
      <c r="E477" s="176"/>
      <c r="F477" s="123"/>
      <c r="G477" s="123"/>
      <c r="H477" s="123"/>
      <c r="I477" s="123"/>
      <c r="J477" s="174"/>
      <c r="K477" s="182"/>
      <c r="L477" s="182"/>
      <c r="M477" s="182"/>
      <c r="N477" s="182"/>
      <c r="O477" s="182"/>
      <c r="P477" s="182"/>
      <c r="Q477" s="182"/>
      <c r="R477" s="182"/>
      <c r="S477" s="182"/>
      <c r="T477" s="182"/>
      <c r="U477" s="182"/>
      <c r="V477" s="182"/>
      <c r="W477" s="182"/>
      <c r="X477" s="182"/>
      <c r="Y477" s="182"/>
    </row>
    <row r="478" spans="1:25" ht="15.75" hidden="1" customHeight="1" x14ac:dyDescent="0.2">
      <c r="A478" s="182"/>
      <c r="B478" s="175"/>
      <c r="C478" s="176"/>
      <c r="D478" s="176"/>
      <c r="E478" s="176"/>
      <c r="F478" s="123"/>
      <c r="G478" s="123"/>
      <c r="H478" s="123"/>
      <c r="I478" s="123"/>
      <c r="J478" s="174"/>
      <c r="K478" s="182"/>
      <c r="L478" s="182"/>
      <c r="M478" s="182"/>
      <c r="N478" s="182"/>
      <c r="O478" s="182"/>
      <c r="P478" s="182"/>
      <c r="Q478" s="182"/>
      <c r="R478" s="182"/>
      <c r="S478" s="182"/>
      <c r="T478" s="182"/>
      <c r="U478" s="182"/>
      <c r="V478" s="182"/>
      <c r="W478" s="182"/>
      <c r="X478" s="182"/>
      <c r="Y478" s="182"/>
    </row>
    <row r="479" spans="1:25" ht="15.75" hidden="1" customHeight="1" x14ac:dyDescent="0.2">
      <c r="A479" s="182"/>
      <c r="B479" s="175"/>
      <c r="C479" s="176"/>
      <c r="D479" s="176"/>
      <c r="E479" s="176"/>
      <c r="F479" s="123"/>
      <c r="G479" s="123"/>
      <c r="H479" s="123"/>
      <c r="I479" s="123"/>
      <c r="J479" s="174"/>
      <c r="K479" s="182"/>
      <c r="L479" s="182"/>
      <c r="M479" s="182"/>
      <c r="N479" s="182"/>
      <c r="O479" s="182"/>
      <c r="P479" s="182"/>
      <c r="Q479" s="182"/>
      <c r="R479" s="182"/>
      <c r="S479" s="182"/>
      <c r="T479" s="182"/>
      <c r="U479" s="182"/>
      <c r="V479" s="182"/>
      <c r="W479" s="182"/>
      <c r="X479" s="182"/>
      <c r="Y479" s="182"/>
    </row>
    <row r="480" spans="1:25" ht="15.75" hidden="1" customHeight="1" x14ac:dyDescent="0.2">
      <c r="A480" s="182"/>
      <c r="B480" s="175"/>
      <c r="C480" s="176"/>
      <c r="D480" s="176"/>
      <c r="E480" s="176"/>
      <c r="F480" s="123"/>
      <c r="G480" s="123"/>
      <c r="H480" s="123"/>
      <c r="I480" s="123"/>
      <c r="J480" s="174"/>
      <c r="K480" s="182"/>
      <c r="L480" s="182"/>
      <c r="M480" s="182"/>
      <c r="N480" s="182"/>
      <c r="O480" s="182"/>
      <c r="P480" s="182"/>
      <c r="Q480" s="182"/>
      <c r="R480" s="182"/>
      <c r="S480" s="182"/>
      <c r="T480" s="182"/>
      <c r="U480" s="182"/>
      <c r="V480" s="182"/>
      <c r="W480" s="182"/>
      <c r="X480" s="182"/>
      <c r="Y480" s="182"/>
    </row>
    <row r="481" spans="1:25" ht="15.75" hidden="1" customHeight="1" x14ac:dyDescent="0.2">
      <c r="A481" s="182"/>
      <c r="B481" s="175"/>
      <c r="C481" s="176"/>
      <c r="D481" s="176"/>
      <c r="E481" s="176"/>
      <c r="F481" s="123"/>
      <c r="G481" s="123"/>
      <c r="H481" s="123"/>
      <c r="I481" s="123"/>
      <c r="J481" s="174"/>
      <c r="K481" s="182"/>
      <c r="L481" s="182"/>
      <c r="M481" s="182"/>
      <c r="N481" s="182"/>
      <c r="O481" s="182"/>
      <c r="P481" s="182"/>
      <c r="Q481" s="182"/>
      <c r="R481" s="182"/>
      <c r="S481" s="182"/>
      <c r="T481" s="182"/>
      <c r="U481" s="182"/>
      <c r="V481" s="182"/>
      <c r="W481" s="182"/>
      <c r="X481" s="182"/>
      <c r="Y481" s="182"/>
    </row>
    <row r="482" spans="1:25" ht="15.75" hidden="1" customHeight="1" x14ac:dyDescent="0.2">
      <c r="A482" s="182"/>
      <c r="B482" s="175"/>
      <c r="C482" s="176"/>
      <c r="D482" s="176"/>
      <c r="E482" s="176"/>
      <c r="F482" s="123"/>
      <c r="G482" s="123"/>
      <c r="H482" s="123"/>
      <c r="I482" s="123"/>
      <c r="J482" s="174"/>
      <c r="K482" s="182"/>
      <c r="L482" s="182"/>
      <c r="M482" s="182"/>
      <c r="N482" s="182"/>
      <c r="O482" s="182"/>
      <c r="P482" s="182"/>
      <c r="Q482" s="182"/>
      <c r="R482" s="182"/>
      <c r="S482" s="182"/>
      <c r="T482" s="182"/>
      <c r="U482" s="182"/>
      <c r="V482" s="182"/>
      <c r="W482" s="182"/>
      <c r="X482" s="182"/>
      <c r="Y482" s="182"/>
    </row>
    <row r="483" spans="1:25" ht="15.75" hidden="1" customHeight="1" x14ac:dyDescent="0.2">
      <c r="A483" s="182"/>
      <c r="B483" s="175"/>
      <c r="C483" s="176"/>
      <c r="D483" s="176"/>
      <c r="E483" s="176"/>
      <c r="F483" s="123"/>
      <c r="G483" s="123"/>
      <c r="H483" s="123"/>
      <c r="I483" s="123"/>
      <c r="J483" s="174"/>
      <c r="K483" s="182"/>
      <c r="L483" s="182"/>
      <c r="M483" s="182"/>
      <c r="N483" s="182"/>
      <c r="O483" s="182"/>
      <c r="P483" s="182"/>
      <c r="Q483" s="182"/>
      <c r="R483" s="182"/>
      <c r="S483" s="182"/>
      <c r="T483" s="182"/>
      <c r="U483" s="182"/>
      <c r="V483" s="182"/>
      <c r="W483" s="182"/>
      <c r="X483" s="182"/>
      <c r="Y483" s="182"/>
    </row>
    <row r="484" spans="1:25" ht="15.75" hidden="1" customHeight="1" x14ac:dyDescent="0.2">
      <c r="A484" s="182"/>
      <c r="B484" s="175"/>
      <c r="C484" s="176"/>
      <c r="D484" s="176"/>
      <c r="E484" s="176"/>
      <c r="F484" s="123"/>
      <c r="G484" s="123"/>
      <c r="H484" s="123"/>
      <c r="I484" s="123"/>
      <c r="J484" s="174"/>
      <c r="K484" s="182"/>
      <c r="L484" s="182"/>
      <c r="M484" s="182"/>
      <c r="N484" s="182"/>
      <c r="O484" s="182"/>
      <c r="P484" s="182"/>
      <c r="Q484" s="182"/>
      <c r="R484" s="182"/>
      <c r="S484" s="182"/>
      <c r="T484" s="182"/>
      <c r="U484" s="182"/>
      <c r="V484" s="182"/>
      <c r="W484" s="182"/>
      <c r="X484" s="182"/>
      <c r="Y484" s="182"/>
    </row>
    <row r="485" spans="1:25" ht="15.75" hidden="1" customHeight="1" x14ac:dyDescent="0.2">
      <c r="A485" s="182"/>
      <c r="B485" s="175"/>
      <c r="C485" s="176"/>
      <c r="D485" s="176"/>
      <c r="E485" s="176"/>
      <c r="F485" s="123"/>
      <c r="G485" s="123"/>
      <c r="H485" s="123"/>
      <c r="I485" s="123"/>
      <c r="J485" s="174"/>
      <c r="K485" s="182"/>
      <c r="L485" s="182"/>
      <c r="M485" s="182"/>
      <c r="N485" s="182"/>
      <c r="O485" s="182"/>
      <c r="P485" s="182"/>
      <c r="Q485" s="182"/>
      <c r="R485" s="182"/>
      <c r="S485" s="182"/>
      <c r="T485" s="182"/>
      <c r="U485" s="182"/>
      <c r="V485" s="182"/>
      <c r="W485" s="182"/>
      <c r="X485" s="182"/>
      <c r="Y485" s="182"/>
    </row>
    <row r="486" spans="1:25" ht="15.75" hidden="1" customHeight="1" x14ac:dyDescent="0.2">
      <c r="A486" s="182"/>
      <c r="B486" s="175"/>
      <c r="C486" s="176"/>
      <c r="D486" s="176"/>
      <c r="E486" s="176"/>
      <c r="F486" s="123"/>
      <c r="G486" s="123"/>
      <c r="H486" s="123"/>
      <c r="I486" s="123"/>
      <c r="J486" s="174"/>
      <c r="K486" s="182"/>
      <c r="L486" s="182"/>
      <c r="M486" s="182"/>
      <c r="N486" s="182"/>
      <c r="O486" s="182"/>
      <c r="P486" s="182"/>
      <c r="Q486" s="182"/>
      <c r="R486" s="182"/>
      <c r="S486" s="182"/>
      <c r="T486" s="182"/>
      <c r="U486" s="182"/>
      <c r="V486" s="182"/>
      <c r="W486" s="182"/>
      <c r="X486" s="182"/>
      <c r="Y486" s="182"/>
    </row>
    <row r="487" spans="1:25" ht="15.75" hidden="1" customHeight="1" x14ac:dyDescent="0.2">
      <c r="A487" s="182"/>
      <c r="B487" s="175"/>
      <c r="C487" s="176"/>
      <c r="D487" s="176"/>
      <c r="E487" s="176"/>
      <c r="F487" s="123"/>
      <c r="G487" s="123"/>
      <c r="H487" s="123"/>
      <c r="I487" s="123"/>
      <c r="J487" s="174"/>
      <c r="K487" s="182"/>
      <c r="L487" s="182"/>
      <c r="M487" s="182"/>
      <c r="N487" s="182"/>
      <c r="O487" s="182"/>
      <c r="P487" s="182"/>
      <c r="Q487" s="182"/>
      <c r="R487" s="182"/>
      <c r="S487" s="182"/>
      <c r="T487" s="182"/>
      <c r="U487" s="182"/>
      <c r="V487" s="182"/>
      <c r="W487" s="182"/>
      <c r="X487" s="182"/>
      <c r="Y487" s="182"/>
    </row>
    <row r="488" spans="1:25" ht="15.75" hidden="1" customHeight="1" x14ac:dyDescent="0.2">
      <c r="A488" s="182"/>
      <c r="B488" s="175"/>
      <c r="C488" s="176"/>
      <c r="D488" s="176"/>
      <c r="E488" s="176"/>
      <c r="F488" s="123"/>
      <c r="G488" s="123"/>
      <c r="H488" s="123"/>
      <c r="I488" s="123"/>
      <c r="J488" s="174"/>
      <c r="K488" s="182"/>
      <c r="L488" s="182"/>
      <c r="M488" s="182"/>
      <c r="N488" s="182"/>
      <c r="O488" s="182"/>
      <c r="P488" s="182"/>
      <c r="Q488" s="182"/>
      <c r="R488" s="182"/>
      <c r="S488" s="182"/>
      <c r="T488" s="182"/>
      <c r="U488" s="182"/>
      <c r="V488" s="182"/>
      <c r="W488" s="182"/>
      <c r="X488" s="182"/>
      <c r="Y488" s="182"/>
    </row>
    <row r="489" spans="1:25" ht="15.75" hidden="1" customHeight="1" x14ac:dyDescent="0.2">
      <c r="A489" s="182"/>
      <c r="B489" s="175"/>
      <c r="C489" s="176"/>
      <c r="D489" s="176"/>
      <c r="E489" s="176"/>
      <c r="F489" s="123"/>
      <c r="G489" s="123"/>
      <c r="H489" s="123"/>
      <c r="I489" s="123"/>
      <c r="J489" s="174"/>
      <c r="K489" s="182"/>
      <c r="L489" s="182"/>
      <c r="M489" s="182"/>
      <c r="N489" s="182"/>
      <c r="O489" s="182"/>
      <c r="P489" s="182"/>
      <c r="Q489" s="182"/>
      <c r="R489" s="182"/>
      <c r="S489" s="182"/>
      <c r="T489" s="182"/>
      <c r="U489" s="182"/>
      <c r="V489" s="182"/>
      <c r="W489" s="182"/>
      <c r="X489" s="182"/>
      <c r="Y489" s="182"/>
    </row>
    <row r="490" spans="1:25" ht="15.75" hidden="1" customHeight="1" x14ac:dyDescent="0.2">
      <c r="A490" s="182"/>
      <c r="B490" s="175"/>
      <c r="C490" s="176"/>
      <c r="D490" s="176"/>
      <c r="E490" s="176"/>
      <c r="F490" s="123"/>
      <c r="G490" s="123"/>
      <c r="H490" s="123"/>
      <c r="I490" s="123"/>
      <c r="J490" s="174"/>
      <c r="K490" s="182"/>
      <c r="L490" s="182"/>
      <c r="M490" s="182"/>
      <c r="N490" s="182"/>
      <c r="O490" s="182"/>
      <c r="P490" s="182"/>
      <c r="Q490" s="182"/>
      <c r="R490" s="182"/>
      <c r="S490" s="182"/>
      <c r="T490" s="182"/>
      <c r="U490" s="182"/>
      <c r="V490" s="182"/>
      <c r="W490" s="182"/>
      <c r="X490" s="182"/>
      <c r="Y490" s="182"/>
    </row>
    <row r="491" spans="1:25" ht="15.75" hidden="1" customHeight="1" x14ac:dyDescent="0.2">
      <c r="A491" s="182"/>
      <c r="B491" s="175"/>
      <c r="C491" s="176"/>
      <c r="D491" s="176"/>
      <c r="E491" s="176"/>
      <c r="F491" s="123"/>
      <c r="G491" s="123"/>
      <c r="H491" s="123"/>
      <c r="I491" s="123"/>
      <c r="J491" s="174"/>
      <c r="K491" s="182"/>
      <c r="L491" s="182"/>
      <c r="M491" s="182"/>
      <c r="N491" s="182"/>
      <c r="O491" s="182"/>
      <c r="P491" s="182"/>
      <c r="Q491" s="182"/>
      <c r="R491" s="182"/>
      <c r="S491" s="182"/>
      <c r="T491" s="182"/>
      <c r="U491" s="182"/>
      <c r="V491" s="182"/>
      <c r="W491" s="182"/>
      <c r="X491" s="182"/>
      <c r="Y491" s="182"/>
    </row>
    <row r="492" spans="1:25" ht="15.75" hidden="1" customHeight="1" x14ac:dyDescent="0.2">
      <c r="A492" s="182"/>
      <c r="B492" s="175"/>
      <c r="C492" s="176"/>
      <c r="D492" s="176"/>
      <c r="E492" s="176"/>
      <c r="F492" s="123"/>
      <c r="G492" s="123"/>
      <c r="H492" s="123"/>
      <c r="I492" s="123"/>
      <c r="J492" s="174"/>
      <c r="K492" s="182"/>
      <c r="L492" s="182"/>
      <c r="M492" s="182"/>
      <c r="N492" s="182"/>
      <c r="O492" s="182"/>
      <c r="P492" s="182"/>
      <c r="Q492" s="182"/>
      <c r="R492" s="182"/>
      <c r="S492" s="182"/>
      <c r="T492" s="182"/>
      <c r="U492" s="182"/>
      <c r="V492" s="182"/>
      <c r="W492" s="182"/>
      <c r="X492" s="182"/>
      <c r="Y492" s="182"/>
    </row>
    <row r="493" spans="1:25" ht="15.75" hidden="1" customHeight="1" x14ac:dyDescent="0.2">
      <c r="A493" s="182"/>
      <c r="B493" s="175"/>
      <c r="C493" s="176"/>
      <c r="D493" s="176"/>
      <c r="E493" s="176"/>
      <c r="F493" s="123"/>
      <c r="G493" s="123"/>
      <c r="H493" s="123"/>
      <c r="I493" s="123"/>
      <c r="J493" s="174"/>
      <c r="K493" s="182"/>
      <c r="L493" s="182"/>
      <c r="M493" s="182"/>
      <c r="N493" s="182"/>
      <c r="O493" s="182"/>
      <c r="P493" s="182"/>
      <c r="Q493" s="182"/>
      <c r="R493" s="182"/>
      <c r="S493" s="182"/>
      <c r="T493" s="182"/>
      <c r="U493" s="182"/>
      <c r="V493" s="182"/>
      <c r="W493" s="182"/>
      <c r="X493" s="182"/>
      <c r="Y493" s="182"/>
    </row>
    <row r="494" spans="1:25" ht="15.75" hidden="1" customHeight="1" x14ac:dyDescent="0.2">
      <c r="A494" s="182"/>
      <c r="B494" s="175"/>
      <c r="C494" s="176"/>
      <c r="D494" s="176"/>
      <c r="E494" s="176"/>
      <c r="F494" s="123"/>
      <c r="G494" s="123"/>
      <c r="H494" s="123"/>
      <c r="I494" s="123"/>
      <c r="J494" s="174"/>
      <c r="K494" s="182"/>
      <c r="L494" s="182"/>
      <c r="M494" s="182"/>
      <c r="N494" s="182"/>
      <c r="O494" s="182"/>
      <c r="P494" s="182"/>
      <c r="Q494" s="182"/>
      <c r="R494" s="182"/>
      <c r="S494" s="182"/>
      <c r="T494" s="182"/>
      <c r="U494" s="182"/>
      <c r="V494" s="182"/>
      <c r="W494" s="182"/>
      <c r="X494" s="182"/>
      <c r="Y494" s="182"/>
    </row>
    <row r="495" spans="1:25" ht="15.75" hidden="1" customHeight="1" x14ac:dyDescent="0.2">
      <c r="A495" s="182"/>
      <c r="B495" s="175"/>
      <c r="C495" s="176"/>
      <c r="D495" s="176"/>
      <c r="E495" s="176"/>
      <c r="F495" s="123"/>
      <c r="G495" s="123"/>
      <c r="H495" s="123"/>
      <c r="I495" s="123"/>
      <c r="J495" s="174"/>
      <c r="K495" s="182"/>
      <c r="L495" s="182"/>
      <c r="M495" s="182"/>
      <c r="N495" s="182"/>
      <c r="O495" s="182"/>
      <c r="P495" s="182"/>
      <c r="Q495" s="182"/>
      <c r="R495" s="182"/>
      <c r="S495" s="182"/>
      <c r="T495" s="182"/>
      <c r="U495" s="182"/>
      <c r="V495" s="182"/>
      <c r="W495" s="182"/>
      <c r="X495" s="182"/>
      <c r="Y495" s="182"/>
    </row>
    <row r="496" spans="1:25" ht="15.75" hidden="1" customHeight="1" x14ac:dyDescent="0.2">
      <c r="A496" s="182"/>
      <c r="B496" s="175"/>
      <c r="C496" s="176"/>
      <c r="D496" s="176"/>
      <c r="E496" s="176"/>
      <c r="F496" s="123"/>
      <c r="G496" s="123"/>
      <c r="H496" s="123"/>
      <c r="I496" s="123"/>
      <c r="J496" s="174"/>
      <c r="K496" s="182"/>
      <c r="L496" s="182"/>
      <c r="M496" s="182"/>
      <c r="N496" s="182"/>
      <c r="O496" s="182"/>
      <c r="P496" s="182"/>
      <c r="Q496" s="182"/>
      <c r="R496" s="182"/>
      <c r="S496" s="182"/>
      <c r="T496" s="182"/>
      <c r="U496" s="182"/>
      <c r="V496" s="182"/>
      <c r="W496" s="182"/>
      <c r="X496" s="182"/>
      <c r="Y496" s="182"/>
    </row>
    <row r="497" spans="1:25" ht="15.75" hidden="1" customHeight="1" x14ac:dyDescent="0.2">
      <c r="A497" s="182"/>
      <c r="B497" s="175"/>
      <c r="C497" s="176"/>
      <c r="D497" s="176"/>
      <c r="E497" s="176"/>
      <c r="F497" s="123"/>
      <c r="G497" s="123"/>
      <c r="H497" s="123"/>
      <c r="I497" s="123"/>
      <c r="J497" s="174"/>
      <c r="K497" s="182"/>
      <c r="L497" s="182"/>
      <c r="M497" s="182"/>
      <c r="N497" s="182"/>
      <c r="O497" s="182"/>
      <c r="P497" s="182"/>
      <c r="Q497" s="182"/>
      <c r="R497" s="182"/>
      <c r="S497" s="182"/>
      <c r="T497" s="182"/>
      <c r="U497" s="182"/>
      <c r="V497" s="182"/>
      <c r="W497" s="182"/>
      <c r="X497" s="182"/>
      <c r="Y497" s="182"/>
    </row>
    <row r="498" spans="1:25" ht="15.75" hidden="1" customHeight="1" x14ac:dyDescent="0.2">
      <c r="A498" s="182"/>
      <c r="B498" s="175"/>
      <c r="C498" s="176"/>
      <c r="D498" s="176"/>
      <c r="E498" s="176"/>
      <c r="F498" s="123"/>
      <c r="G498" s="123"/>
      <c r="H498" s="123"/>
      <c r="I498" s="123"/>
      <c r="J498" s="174"/>
      <c r="K498" s="182"/>
      <c r="L498" s="182"/>
      <c r="M498" s="182"/>
      <c r="N498" s="182"/>
      <c r="O498" s="182"/>
      <c r="P498" s="182"/>
      <c r="Q498" s="182"/>
      <c r="R498" s="182"/>
      <c r="S498" s="182"/>
      <c r="T498" s="182"/>
      <c r="U498" s="182"/>
      <c r="V498" s="182"/>
      <c r="W498" s="182"/>
      <c r="X498" s="182"/>
      <c r="Y498" s="182"/>
    </row>
    <row r="499" spans="1:25" ht="15.75" hidden="1" customHeight="1" x14ac:dyDescent="0.2">
      <c r="A499" s="182"/>
      <c r="B499" s="175"/>
      <c r="C499" s="176"/>
      <c r="D499" s="176"/>
      <c r="E499" s="176"/>
      <c r="F499" s="123"/>
      <c r="G499" s="123"/>
      <c r="H499" s="123"/>
      <c r="I499" s="123"/>
      <c r="J499" s="174"/>
      <c r="K499" s="182"/>
      <c r="L499" s="182"/>
      <c r="M499" s="182"/>
      <c r="N499" s="182"/>
      <c r="O499" s="182"/>
      <c r="P499" s="182"/>
      <c r="Q499" s="182"/>
      <c r="R499" s="182"/>
      <c r="S499" s="182"/>
      <c r="T499" s="182"/>
      <c r="U499" s="182"/>
      <c r="V499" s="182"/>
      <c r="W499" s="182"/>
      <c r="X499" s="182"/>
      <c r="Y499" s="182"/>
    </row>
    <row r="500" spans="1:25" ht="15.75" hidden="1" customHeight="1" x14ac:dyDescent="0.2">
      <c r="A500" s="182"/>
      <c r="B500" s="175"/>
      <c r="C500" s="176"/>
      <c r="D500" s="176"/>
      <c r="E500" s="176"/>
      <c r="F500" s="123"/>
      <c r="G500" s="123"/>
      <c r="H500" s="123"/>
      <c r="I500" s="123"/>
      <c r="J500" s="174"/>
      <c r="K500" s="182"/>
      <c r="L500" s="182"/>
      <c r="M500" s="182"/>
      <c r="N500" s="182"/>
      <c r="O500" s="182"/>
      <c r="P500" s="182"/>
      <c r="Q500" s="182"/>
      <c r="R500" s="182"/>
      <c r="S500" s="182"/>
      <c r="T500" s="182"/>
      <c r="U500" s="182"/>
      <c r="V500" s="182"/>
      <c r="W500" s="182"/>
      <c r="X500" s="182"/>
      <c r="Y500" s="182"/>
    </row>
    <row r="501" spans="1:25" ht="15.75" hidden="1" customHeight="1" x14ac:dyDescent="0.2">
      <c r="A501" s="182"/>
      <c r="B501" s="175"/>
      <c r="C501" s="176"/>
      <c r="D501" s="176"/>
      <c r="E501" s="176"/>
      <c r="F501" s="123"/>
      <c r="G501" s="123"/>
      <c r="H501" s="123"/>
      <c r="I501" s="123"/>
      <c r="J501" s="174"/>
      <c r="K501" s="182"/>
      <c r="L501" s="182"/>
      <c r="M501" s="182"/>
      <c r="N501" s="182"/>
      <c r="O501" s="182"/>
      <c r="P501" s="182"/>
      <c r="Q501" s="182"/>
      <c r="R501" s="182"/>
      <c r="S501" s="182"/>
      <c r="T501" s="182"/>
      <c r="U501" s="182"/>
      <c r="V501" s="182"/>
      <c r="W501" s="182"/>
      <c r="X501" s="182"/>
      <c r="Y501" s="182"/>
    </row>
    <row r="502" spans="1:25" ht="15.75" hidden="1" customHeight="1" x14ac:dyDescent="0.2">
      <c r="A502" s="182"/>
      <c r="B502" s="175"/>
      <c r="C502" s="176"/>
      <c r="D502" s="176"/>
      <c r="E502" s="176"/>
      <c r="F502" s="123"/>
      <c r="G502" s="123"/>
      <c r="H502" s="123"/>
      <c r="I502" s="123"/>
      <c r="J502" s="174"/>
      <c r="K502" s="182"/>
      <c r="L502" s="182"/>
      <c r="M502" s="182"/>
      <c r="N502" s="182"/>
      <c r="O502" s="182"/>
      <c r="P502" s="182"/>
      <c r="Q502" s="182"/>
      <c r="R502" s="182"/>
      <c r="S502" s="182"/>
      <c r="T502" s="182"/>
      <c r="U502" s="182"/>
      <c r="V502" s="182"/>
      <c r="W502" s="182"/>
      <c r="X502" s="182"/>
      <c r="Y502" s="182"/>
    </row>
    <row r="503" spans="1:25" ht="15.75" hidden="1" customHeight="1" x14ac:dyDescent="0.2">
      <c r="A503" s="182"/>
      <c r="B503" s="175"/>
      <c r="C503" s="176"/>
      <c r="D503" s="176"/>
      <c r="E503" s="176"/>
      <c r="F503" s="123"/>
      <c r="G503" s="123"/>
      <c r="H503" s="123"/>
      <c r="I503" s="123"/>
      <c r="J503" s="174"/>
      <c r="K503" s="182"/>
      <c r="L503" s="182"/>
      <c r="M503" s="182"/>
      <c r="N503" s="182"/>
      <c r="O503" s="182"/>
      <c r="P503" s="182"/>
      <c r="Q503" s="182"/>
      <c r="R503" s="182"/>
      <c r="S503" s="182"/>
      <c r="T503" s="182"/>
      <c r="U503" s="182"/>
      <c r="V503" s="182"/>
      <c r="W503" s="182"/>
      <c r="X503" s="182"/>
      <c r="Y503" s="182"/>
    </row>
    <row r="504" spans="1:25" ht="15.75" hidden="1" customHeight="1" x14ac:dyDescent="0.2">
      <c r="A504" s="182"/>
      <c r="B504" s="175"/>
      <c r="C504" s="176"/>
      <c r="D504" s="176"/>
      <c r="E504" s="176"/>
      <c r="F504" s="123"/>
      <c r="G504" s="123"/>
      <c r="H504" s="123"/>
      <c r="I504" s="123"/>
      <c r="J504" s="174"/>
      <c r="K504" s="182"/>
      <c r="L504" s="182"/>
      <c r="M504" s="182"/>
      <c r="N504" s="182"/>
      <c r="O504" s="182"/>
      <c r="P504" s="182"/>
      <c r="Q504" s="182"/>
      <c r="R504" s="182"/>
      <c r="S504" s="182"/>
      <c r="T504" s="182"/>
      <c r="U504" s="182"/>
      <c r="V504" s="182"/>
      <c r="W504" s="182"/>
      <c r="X504" s="182"/>
      <c r="Y504" s="182"/>
    </row>
    <row r="505" spans="1:25" ht="15.75" hidden="1" customHeight="1" x14ac:dyDescent="0.2">
      <c r="A505" s="182"/>
      <c r="B505" s="175"/>
      <c r="C505" s="176"/>
      <c r="D505" s="176"/>
      <c r="E505" s="176"/>
      <c r="F505" s="123"/>
      <c r="G505" s="123"/>
      <c r="H505" s="123"/>
      <c r="I505" s="123"/>
      <c r="J505" s="174"/>
      <c r="K505" s="182"/>
      <c r="L505" s="182"/>
      <c r="M505" s="182"/>
      <c r="N505" s="182"/>
      <c r="O505" s="182"/>
      <c r="P505" s="182"/>
      <c r="Q505" s="182"/>
      <c r="R505" s="182"/>
      <c r="S505" s="182"/>
      <c r="T505" s="182"/>
      <c r="U505" s="182"/>
      <c r="V505" s="182"/>
      <c r="W505" s="182"/>
      <c r="X505" s="182"/>
      <c r="Y505" s="182"/>
    </row>
    <row r="506" spans="1:25" ht="15.75" hidden="1" customHeight="1" x14ac:dyDescent="0.2">
      <c r="A506" s="182"/>
      <c r="B506" s="175"/>
      <c r="C506" s="176"/>
      <c r="D506" s="176"/>
      <c r="E506" s="176"/>
      <c r="F506" s="123"/>
      <c r="G506" s="123"/>
      <c r="H506" s="123"/>
      <c r="I506" s="123"/>
      <c r="J506" s="174"/>
      <c r="K506" s="182"/>
      <c r="L506" s="182"/>
      <c r="M506" s="182"/>
      <c r="N506" s="182"/>
      <c r="O506" s="182"/>
      <c r="P506" s="182"/>
      <c r="Q506" s="182"/>
      <c r="R506" s="182"/>
      <c r="S506" s="182"/>
      <c r="T506" s="182"/>
      <c r="U506" s="182"/>
      <c r="V506" s="182"/>
      <c r="W506" s="182"/>
      <c r="X506" s="182"/>
      <c r="Y506" s="182"/>
    </row>
    <row r="507" spans="1:25" ht="15.75" hidden="1" customHeight="1" x14ac:dyDescent="0.2">
      <c r="A507" s="182"/>
      <c r="B507" s="175"/>
      <c r="C507" s="176"/>
      <c r="D507" s="176"/>
      <c r="E507" s="176"/>
      <c r="F507" s="123"/>
      <c r="G507" s="123"/>
      <c r="H507" s="123"/>
      <c r="I507" s="123"/>
      <c r="J507" s="174"/>
      <c r="K507" s="182"/>
      <c r="L507" s="182"/>
      <c r="M507" s="182"/>
      <c r="N507" s="182"/>
      <c r="O507" s="182"/>
      <c r="P507" s="182"/>
      <c r="Q507" s="182"/>
      <c r="R507" s="182"/>
      <c r="S507" s="182"/>
      <c r="T507" s="182"/>
      <c r="U507" s="182"/>
      <c r="V507" s="182"/>
      <c r="W507" s="182"/>
      <c r="X507" s="182"/>
      <c r="Y507" s="182"/>
    </row>
    <row r="508" spans="1:25" ht="15.75" hidden="1" customHeight="1" x14ac:dyDescent="0.2">
      <c r="A508" s="182"/>
      <c r="B508" s="175"/>
      <c r="C508" s="176"/>
      <c r="D508" s="176"/>
      <c r="E508" s="176"/>
      <c r="F508" s="123"/>
      <c r="G508" s="123"/>
      <c r="H508" s="123"/>
      <c r="I508" s="123"/>
      <c r="J508" s="174"/>
      <c r="K508" s="182"/>
      <c r="L508" s="182"/>
      <c r="M508" s="182"/>
      <c r="N508" s="182"/>
      <c r="O508" s="182"/>
      <c r="P508" s="182"/>
      <c r="Q508" s="182"/>
      <c r="R508" s="182"/>
      <c r="S508" s="182"/>
      <c r="T508" s="182"/>
      <c r="U508" s="182"/>
      <c r="V508" s="182"/>
      <c r="W508" s="182"/>
      <c r="X508" s="182"/>
      <c r="Y508" s="182"/>
    </row>
    <row r="509" spans="1:25" ht="15.75" hidden="1" customHeight="1" x14ac:dyDescent="0.2">
      <c r="A509" s="182"/>
      <c r="B509" s="175"/>
      <c r="C509" s="176"/>
      <c r="D509" s="176"/>
      <c r="E509" s="176"/>
      <c r="F509" s="123"/>
      <c r="G509" s="123"/>
      <c r="H509" s="123"/>
      <c r="I509" s="123"/>
      <c r="J509" s="174"/>
      <c r="K509" s="182"/>
      <c r="L509" s="182"/>
      <c r="M509" s="182"/>
      <c r="N509" s="182"/>
      <c r="O509" s="182"/>
      <c r="P509" s="182"/>
      <c r="Q509" s="182"/>
      <c r="R509" s="182"/>
      <c r="S509" s="182"/>
      <c r="T509" s="182"/>
      <c r="U509" s="182"/>
      <c r="V509" s="182"/>
      <c r="W509" s="182"/>
      <c r="X509" s="182"/>
      <c r="Y509" s="182"/>
    </row>
    <row r="510" spans="1:25" ht="15.75" hidden="1" customHeight="1" x14ac:dyDescent="0.2">
      <c r="A510" s="182"/>
      <c r="B510" s="175"/>
      <c r="C510" s="176"/>
      <c r="D510" s="176"/>
      <c r="E510" s="176"/>
      <c r="F510" s="123"/>
      <c r="G510" s="123"/>
      <c r="H510" s="123"/>
      <c r="I510" s="123"/>
      <c r="J510" s="174"/>
      <c r="K510" s="182"/>
      <c r="L510" s="182"/>
      <c r="M510" s="182"/>
      <c r="N510" s="182"/>
      <c r="O510" s="182"/>
      <c r="P510" s="182"/>
      <c r="Q510" s="182"/>
      <c r="R510" s="182"/>
      <c r="S510" s="182"/>
      <c r="T510" s="182"/>
      <c r="U510" s="182"/>
      <c r="V510" s="182"/>
      <c r="W510" s="182"/>
      <c r="X510" s="182"/>
      <c r="Y510" s="182"/>
    </row>
    <row r="511" spans="1:25" ht="15.75" hidden="1" customHeight="1" x14ac:dyDescent="0.2">
      <c r="A511" s="182"/>
      <c r="B511" s="175"/>
      <c r="C511" s="176"/>
      <c r="D511" s="176"/>
      <c r="E511" s="176"/>
      <c r="F511" s="123"/>
      <c r="G511" s="123"/>
      <c r="H511" s="123"/>
      <c r="I511" s="123"/>
      <c r="J511" s="174"/>
      <c r="K511" s="182"/>
      <c r="L511" s="182"/>
      <c r="M511" s="182"/>
      <c r="N511" s="182"/>
      <c r="O511" s="182"/>
      <c r="P511" s="182"/>
      <c r="Q511" s="182"/>
      <c r="R511" s="182"/>
      <c r="S511" s="182"/>
      <c r="T511" s="182"/>
      <c r="U511" s="182"/>
      <c r="V511" s="182"/>
      <c r="W511" s="182"/>
      <c r="X511" s="182"/>
      <c r="Y511" s="182"/>
    </row>
    <row r="512" spans="1:25" ht="15.75" hidden="1" customHeight="1" x14ac:dyDescent="0.2">
      <c r="A512" s="182"/>
      <c r="B512" s="175"/>
      <c r="C512" s="176"/>
      <c r="D512" s="176"/>
      <c r="E512" s="176"/>
      <c r="F512" s="123"/>
      <c r="G512" s="123"/>
      <c r="H512" s="123"/>
      <c r="I512" s="123"/>
      <c r="J512" s="174"/>
      <c r="K512" s="182"/>
      <c r="L512" s="182"/>
      <c r="M512" s="182"/>
      <c r="N512" s="182"/>
      <c r="O512" s="182"/>
      <c r="P512" s="182"/>
      <c r="Q512" s="182"/>
      <c r="R512" s="182"/>
      <c r="S512" s="182"/>
      <c r="T512" s="182"/>
      <c r="U512" s="182"/>
      <c r="V512" s="182"/>
      <c r="W512" s="182"/>
      <c r="X512" s="182"/>
      <c r="Y512" s="182"/>
    </row>
    <row r="513" spans="1:25" ht="15.75" hidden="1" customHeight="1" x14ac:dyDescent="0.2">
      <c r="A513" s="182"/>
      <c r="B513" s="175"/>
      <c r="C513" s="176"/>
      <c r="D513" s="176"/>
      <c r="E513" s="176"/>
      <c r="F513" s="123"/>
      <c r="G513" s="123"/>
      <c r="H513" s="123"/>
      <c r="I513" s="123"/>
      <c r="J513" s="174"/>
      <c r="K513" s="182"/>
      <c r="L513" s="182"/>
      <c r="M513" s="182"/>
      <c r="N513" s="182"/>
      <c r="O513" s="182"/>
      <c r="P513" s="182"/>
      <c r="Q513" s="182"/>
      <c r="R513" s="182"/>
      <c r="S513" s="182"/>
      <c r="T513" s="182"/>
      <c r="U513" s="182"/>
      <c r="V513" s="182"/>
      <c r="W513" s="182"/>
      <c r="X513" s="182"/>
      <c r="Y513" s="182"/>
    </row>
    <row r="514" spans="1:25" ht="15.75" hidden="1" customHeight="1" x14ac:dyDescent="0.2">
      <c r="A514" s="182"/>
      <c r="B514" s="175"/>
      <c r="C514" s="176"/>
      <c r="D514" s="176"/>
      <c r="E514" s="176"/>
      <c r="F514" s="123"/>
      <c r="G514" s="123"/>
      <c r="H514" s="123"/>
      <c r="I514" s="123"/>
      <c r="J514" s="174"/>
      <c r="K514" s="182"/>
      <c r="L514" s="182"/>
      <c r="M514" s="182"/>
      <c r="N514" s="182"/>
      <c r="O514" s="182"/>
      <c r="P514" s="182"/>
      <c r="Q514" s="182"/>
      <c r="R514" s="182"/>
      <c r="S514" s="182"/>
      <c r="T514" s="182"/>
      <c r="U514" s="182"/>
      <c r="V514" s="182"/>
      <c r="W514" s="182"/>
      <c r="X514" s="182"/>
      <c r="Y514" s="182"/>
    </row>
    <row r="515" spans="1:25" ht="15.75" hidden="1" customHeight="1" x14ac:dyDescent="0.2">
      <c r="A515" s="182"/>
      <c r="B515" s="175"/>
      <c r="C515" s="176"/>
      <c r="D515" s="176"/>
      <c r="E515" s="176"/>
      <c r="F515" s="123"/>
      <c r="G515" s="123"/>
      <c r="H515" s="123"/>
      <c r="I515" s="123"/>
      <c r="J515" s="174"/>
      <c r="K515" s="182"/>
      <c r="L515" s="182"/>
      <c r="M515" s="182"/>
      <c r="N515" s="182"/>
      <c r="O515" s="182"/>
      <c r="P515" s="182"/>
      <c r="Q515" s="182"/>
      <c r="R515" s="182"/>
      <c r="S515" s="182"/>
      <c r="T515" s="182"/>
      <c r="U515" s="182"/>
      <c r="V515" s="182"/>
      <c r="W515" s="182"/>
      <c r="X515" s="182"/>
      <c r="Y515" s="182"/>
    </row>
    <row r="516" spans="1:25" ht="15.75" hidden="1" customHeight="1" x14ac:dyDescent="0.2">
      <c r="A516" s="182"/>
      <c r="B516" s="175"/>
      <c r="C516" s="176"/>
      <c r="D516" s="176"/>
      <c r="E516" s="176"/>
      <c r="F516" s="123"/>
      <c r="G516" s="123"/>
      <c r="H516" s="123"/>
      <c r="I516" s="123"/>
      <c r="J516" s="174"/>
      <c r="K516" s="182"/>
      <c r="L516" s="182"/>
      <c r="M516" s="182"/>
      <c r="N516" s="182"/>
      <c r="O516" s="182"/>
      <c r="P516" s="182"/>
      <c r="Q516" s="182"/>
      <c r="R516" s="182"/>
      <c r="S516" s="182"/>
      <c r="T516" s="182"/>
      <c r="U516" s="182"/>
      <c r="V516" s="182"/>
      <c r="W516" s="182"/>
      <c r="X516" s="182"/>
      <c r="Y516" s="182"/>
    </row>
    <row r="517" spans="1:25" ht="15.75" hidden="1" customHeight="1" x14ac:dyDescent="0.2">
      <c r="A517" s="182"/>
      <c r="B517" s="175"/>
      <c r="C517" s="176"/>
      <c r="D517" s="176"/>
      <c r="E517" s="176"/>
      <c r="F517" s="123"/>
      <c r="G517" s="123"/>
      <c r="H517" s="123"/>
      <c r="I517" s="123"/>
      <c r="J517" s="174"/>
      <c r="K517" s="182"/>
      <c r="L517" s="182"/>
      <c r="M517" s="182"/>
      <c r="N517" s="182"/>
      <c r="O517" s="182"/>
      <c r="P517" s="182"/>
      <c r="Q517" s="182"/>
      <c r="R517" s="182"/>
      <c r="S517" s="182"/>
      <c r="T517" s="182"/>
      <c r="U517" s="182"/>
      <c r="V517" s="182"/>
      <c r="W517" s="182"/>
      <c r="X517" s="182"/>
      <c r="Y517" s="182"/>
    </row>
    <row r="518" spans="1:25" ht="15.75" hidden="1" customHeight="1" x14ac:dyDescent="0.2">
      <c r="A518" s="182"/>
      <c r="B518" s="175"/>
      <c r="C518" s="176"/>
      <c r="D518" s="176"/>
      <c r="E518" s="176"/>
      <c r="F518" s="123"/>
      <c r="G518" s="123"/>
      <c r="H518" s="123"/>
      <c r="I518" s="123"/>
      <c r="J518" s="174"/>
      <c r="K518" s="182"/>
      <c r="L518" s="182"/>
      <c r="M518" s="182"/>
      <c r="N518" s="182"/>
      <c r="O518" s="182"/>
      <c r="P518" s="182"/>
      <c r="Q518" s="182"/>
      <c r="R518" s="182"/>
      <c r="S518" s="182"/>
      <c r="T518" s="182"/>
      <c r="U518" s="182"/>
      <c r="V518" s="182"/>
      <c r="W518" s="182"/>
      <c r="X518" s="182"/>
      <c r="Y518" s="182"/>
    </row>
    <row r="519" spans="1:25" ht="15.75" hidden="1" customHeight="1" x14ac:dyDescent="0.2">
      <c r="A519" s="182"/>
      <c r="B519" s="175"/>
      <c r="C519" s="176"/>
      <c r="D519" s="176"/>
      <c r="E519" s="176"/>
      <c r="F519" s="123"/>
      <c r="G519" s="123"/>
      <c r="H519" s="123"/>
      <c r="I519" s="123"/>
      <c r="J519" s="174"/>
      <c r="K519" s="182"/>
      <c r="L519" s="182"/>
      <c r="M519" s="182"/>
      <c r="N519" s="182"/>
      <c r="O519" s="182"/>
      <c r="P519" s="182"/>
      <c r="Q519" s="182"/>
      <c r="R519" s="182"/>
      <c r="S519" s="182"/>
      <c r="T519" s="182"/>
      <c r="U519" s="182"/>
      <c r="V519" s="182"/>
      <c r="W519" s="182"/>
      <c r="X519" s="182"/>
      <c r="Y519" s="182"/>
    </row>
    <row r="520" spans="1:25" ht="15.75" hidden="1" customHeight="1" x14ac:dyDescent="0.2">
      <c r="A520" s="182"/>
      <c r="B520" s="175"/>
      <c r="C520" s="176"/>
      <c r="D520" s="176"/>
      <c r="E520" s="176"/>
      <c r="F520" s="123"/>
      <c r="G520" s="123"/>
      <c r="H520" s="123"/>
      <c r="I520" s="123"/>
      <c r="J520" s="174"/>
      <c r="K520" s="182"/>
      <c r="L520" s="182"/>
      <c r="M520" s="182"/>
      <c r="N520" s="182"/>
      <c r="O520" s="182"/>
      <c r="P520" s="182"/>
      <c r="Q520" s="182"/>
      <c r="R520" s="182"/>
      <c r="S520" s="182"/>
      <c r="T520" s="182"/>
      <c r="U520" s="182"/>
      <c r="V520" s="182"/>
      <c r="W520" s="182"/>
      <c r="X520" s="182"/>
      <c r="Y520" s="182"/>
    </row>
    <row r="521" spans="1:25" ht="15.75" hidden="1" customHeight="1" x14ac:dyDescent="0.2">
      <c r="A521" s="182"/>
      <c r="B521" s="175"/>
      <c r="C521" s="176"/>
      <c r="D521" s="176"/>
      <c r="E521" s="176"/>
      <c r="F521" s="123"/>
      <c r="G521" s="123"/>
      <c r="H521" s="123"/>
      <c r="I521" s="123"/>
      <c r="J521" s="174"/>
      <c r="K521" s="182"/>
      <c r="L521" s="182"/>
      <c r="M521" s="182"/>
      <c r="N521" s="182"/>
      <c r="O521" s="182"/>
      <c r="P521" s="182"/>
      <c r="Q521" s="182"/>
      <c r="R521" s="182"/>
      <c r="S521" s="182"/>
      <c r="T521" s="182"/>
      <c r="U521" s="182"/>
      <c r="V521" s="182"/>
      <c r="W521" s="182"/>
      <c r="X521" s="182"/>
      <c r="Y521" s="182"/>
    </row>
    <row r="522" spans="1:25" ht="15.75" hidden="1" customHeight="1" x14ac:dyDescent="0.2">
      <c r="A522" s="182"/>
      <c r="B522" s="175"/>
      <c r="C522" s="176"/>
      <c r="D522" s="176"/>
      <c r="E522" s="176"/>
      <c r="F522" s="123"/>
      <c r="G522" s="123"/>
      <c r="H522" s="123"/>
      <c r="I522" s="123"/>
      <c r="J522" s="174"/>
      <c r="K522" s="182"/>
      <c r="L522" s="182"/>
      <c r="M522" s="182"/>
      <c r="N522" s="182"/>
      <c r="O522" s="182"/>
      <c r="P522" s="182"/>
      <c r="Q522" s="182"/>
      <c r="R522" s="182"/>
      <c r="S522" s="182"/>
      <c r="T522" s="182"/>
      <c r="U522" s="182"/>
      <c r="V522" s="182"/>
      <c r="W522" s="182"/>
      <c r="X522" s="182"/>
      <c r="Y522" s="182"/>
    </row>
    <row r="523" spans="1:25" ht="15.75" hidden="1" customHeight="1" x14ac:dyDescent="0.2">
      <c r="A523" s="182"/>
      <c r="B523" s="175"/>
      <c r="C523" s="176"/>
      <c r="D523" s="176"/>
      <c r="E523" s="176"/>
      <c r="F523" s="123"/>
      <c r="G523" s="123"/>
      <c r="H523" s="123"/>
      <c r="I523" s="123"/>
      <c r="J523" s="174"/>
      <c r="K523" s="182"/>
      <c r="L523" s="182"/>
      <c r="M523" s="182"/>
      <c r="N523" s="182"/>
      <c r="O523" s="182"/>
      <c r="P523" s="182"/>
      <c r="Q523" s="182"/>
      <c r="R523" s="182"/>
      <c r="S523" s="182"/>
      <c r="T523" s="182"/>
      <c r="U523" s="182"/>
      <c r="V523" s="182"/>
      <c r="W523" s="182"/>
      <c r="X523" s="182"/>
      <c r="Y523" s="182"/>
    </row>
    <row r="524" spans="1:25" ht="15.75" hidden="1" customHeight="1" x14ac:dyDescent="0.2">
      <c r="A524" s="182"/>
      <c r="B524" s="175"/>
      <c r="C524" s="176"/>
      <c r="D524" s="176"/>
      <c r="E524" s="176"/>
      <c r="F524" s="123"/>
      <c r="G524" s="123"/>
      <c r="H524" s="123"/>
      <c r="I524" s="123"/>
      <c r="J524" s="174"/>
      <c r="K524" s="182"/>
      <c r="L524" s="182"/>
      <c r="M524" s="182"/>
      <c r="N524" s="182"/>
      <c r="O524" s="182"/>
      <c r="P524" s="182"/>
      <c r="Q524" s="182"/>
      <c r="R524" s="182"/>
      <c r="S524" s="182"/>
      <c r="T524" s="182"/>
      <c r="U524" s="182"/>
      <c r="V524" s="182"/>
      <c r="W524" s="182"/>
      <c r="X524" s="182"/>
      <c r="Y524" s="182"/>
    </row>
    <row r="525" spans="1:25" ht="15.75" hidden="1" customHeight="1" x14ac:dyDescent="0.2">
      <c r="A525" s="182"/>
      <c r="B525" s="175"/>
      <c r="C525" s="176"/>
      <c r="D525" s="176"/>
      <c r="E525" s="176"/>
      <c r="F525" s="123"/>
      <c r="G525" s="123"/>
      <c r="H525" s="123"/>
      <c r="I525" s="123"/>
      <c r="J525" s="174"/>
      <c r="K525" s="182"/>
      <c r="L525" s="182"/>
      <c r="M525" s="182"/>
      <c r="N525" s="182"/>
      <c r="O525" s="182"/>
      <c r="P525" s="182"/>
      <c r="Q525" s="182"/>
      <c r="R525" s="182"/>
      <c r="S525" s="182"/>
      <c r="T525" s="182"/>
      <c r="U525" s="182"/>
      <c r="V525" s="182"/>
      <c r="W525" s="182"/>
      <c r="X525" s="182"/>
      <c r="Y525" s="182"/>
    </row>
    <row r="526" spans="1:25" ht="15.75" hidden="1" customHeight="1" x14ac:dyDescent="0.2">
      <c r="A526" s="182"/>
      <c r="B526" s="175"/>
      <c r="C526" s="176"/>
      <c r="D526" s="176"/>
      <c r="E526" s="176"/>
      <c r="F526" s="123"/>
      <c r="G526" s="123"/>
      <c r="H526" s="123"/>
      <c r="I526" s="123"/>
      <c r="J526" s="174"/>
      <c r="K526" s="182"/>
      <c r="L526" s="182"/>
      <c r="M526" s="182"/>
      <c r="N526" s="182"/>
      <c r="O526" s="182"/>
      <c r="P526" s="182"/>
      <c r="Q526" s="182"/>
      <c r="R526" s="182"/>
      <c r="S526" s="182"/>
      <c r="T526" s="182"/>
      <c r="U526" s="182"/>
      <c r="V526" s="182"/>
      <c r="W526" s="182"/>
      <c r="X526" s="182"/>
      <c r="Y526" s="182"/>
    </row>
    <row r="527" spans="1:25" ht="15.75" hidden="1" customHeight="1" x14ac:dyDescent="0.2">
      <c r="A527" s="182"/>
      <c r="B527" s="175"/>
      <c r="C527" s="176"/>
      <c r="D527" s="176"/>
      <c r="E527" s="176"/>
      <c r="F527" s="123"/>
      <c r="G527" s="123"/>
      <c r="H527" s="123"/>
      <c r="I527" s="123"/>
      <c r="J527" s="174"/>
      <c r="K527" s="182"/>
      <c r="L527" s="182"/>
      <c r="M527" s="182"/>
      <c r="N527" s="182"/>
      <c r="O527" s="182"/>
      <c r="P527" s="182"/>
      <c r="Q527" s="182"/>
      <c r="R527" s="182"/>
      <c r="S527" s="182"/>
      <c r="T527" s="182"/>
      <c r="U527" s="182"/>
      <c r="V527" s="182"/>
      <c r="W527" s="182"/>
      <c r="X527" s="182"/>
      <c r="Y527" s="182"/>
    </row>
    <row r="528" spans="1:25" ht="15.75" hidden="1" customHeight="1" x14ac:dyDescent="0.2">
      <c r="A528" s="182"/>
      <c r="B528" s="175"/>
      <c r="C528" s="176"/>
      <c r="D528" s="176"/>
      <c r="E528" s="176"/>
      <c r="F528" s="123"/>
      <c r="G528" s="123"/>
      <c r="H528" s="123"/>
      <c r="I528" s="123"/>
      <c r="J528" s="174"/>
      <c r="K528" s="182"/>
      <c r="L528" s="182"/>
      <c r="M528" s="182"/>
      <c r="N528" s="182"/>
      <c r="O528" s="182"/>
      <c r="P528" s="182"/>
      <c r="Q528" s="182"/>
      <c r="R528" s="182"/>
      <c r="S528" s="182"/>
      <c r="T528" s="182"/>
      <c r="U528" s="182"/>
      <c r="V528" s="182"/>
      <c r="W528" s="182"/>
      <c r="X528" s="182"/>
      <c r="Y528" s="182"/>
    </row>
    <row r="529" spans="1:25" ht="15.75" hidden="1" customHeight="1" x14ac:dyDescent="0.2">
      <c r="A529" s="182"/>
      <c r="B529" s="175"/>
      <c r="C529" s="176"/>
      <c r="D529" s="176"/>
      <c r="E529" s="176"/>
      <c r="F529" s="123"/>
      <c r="G529" s="123"/>
      <c r="H529" s="123"/>
      <c r="I529" s="123"/>
      <c r="J529" s="174"/>
      <c r="K529" s="182"/>
      <c r="L529" s="182"/>
      <c r="M529" s="182"/>
      <c r="N529" s="182"/>
      <c r="O529" s="182"/>
      <c r="P529" s="182"/>
      <c r="Q529" s="182"/>
      <c r="R529" s="182"/>
      <c r="S529" s="182"/>
      <c r="T529" s="182"/>
      <c r="U529" s="182"/>
      <c r="V529" s="182"/>
      <c r="W529" s="182"/>
      <c r="X529" s="182"/>
      <c r="Y529" s="182"/>
    </row>
    <row r="530" spans="1:25" ht="15.75" hidden="1" customHeight="1" x14ac:dyDescent="0.2">
      <c r="A530" s="182"/>
      <c r="B530" s="175"/>
      <c r="C530" s="176"/>
      <c r="D530" s="176"/>
      <c r="E530" s="176"/>
      <c r="F530" s="123"/>
      <c r="G530" s="123"/>
      <c r="H530" s="123"/>
      <c r="I530" s="123"/>
      <c r="J530" s="174"/>
      <c r="K530" s="182"/>
      <c r="L530" s="182"/>
      <c r="M530" s="182"/>
      <c r="N530" s="182"/>
      <c r="O530" s="182"/>
      <c r="P530" s="182"/>
      <c r="Q530" s="182"/>
      <c r="R530" s="182"/>
      <c r="S530" s="182"/>
      <c r="T530" s="182"/>
      <c r="U530" s="182"/>
      <c r="V530" s="182"/>
      <c r="W530" s="182"/>
      <c r="X530" s="182"/>
      <c r="Y530" s="182"/>
    </row>
    <row r="531" spans="1:25" ht="15.75" hidden="1" customHeight="1" x14ac:dyDescent="0.2">
      <c r="A531" s="182"/>
      <c r="B531" s="175"/>
      <c r="C531" s="176"/>
      <c r="D531" s="176"/>
      <c r="E531" s="176"/>
      <c r="F531" s="123"/>
      <c r="G531" s="123"/>
      <c r="H531" s="123"/>
      <c r="I531" s="123"/>
      <c r="J531" s="174"/>
      <c r="K531" s="182"/>
      <c r="L531" s="182"/>
      <c r="M531" s="182"/>
      <c r="N531" s="182"/>
      <c r="O531" s="182"/>
      <c r="P531" s="182"/>
      <c r="Q531" s="182"/>
      <c r="R531" s="182"/>
      <c r="S531" s="182"/>
      <c r="T531" s="182"/>
      <c r="U531" s="182"/>
      <c r="V531" s="182"/>
      <c r="W531" s="182"/>
      <c r="X531" s="182"/>
      <c r="Y531" s="182"/>
    </row>
    <row r="532" spans="1:25" ht="15.75" hidden="1" customHeight="1" x14ac:dyDescent="0.2">
      <c r="A532" s="182"/>
      <c r="B532" s="175"/>
      <c r="C532" s="176"/>
      <c r="D532" s="176"/>
      <c r="E532" s="176"/>
      <c r="F532" s="123"/>
      <c r="G532" s="123"/>
      <c r="H532" s="123"/>
      <c r="I532" s="123"/>
      <c r="J532" s="174"/>
      <c r="K532" s="182"/>
      <c r="L532" s="182"/>
      <c r="M532" s="182"/>
      <c r="N532" s="182"/>
      <c r="O532" s="182"/>
      <c r="P532" s="182"/>
      <c r="Q532" s="182"/>
      <c r="R532" s="182"/>
      <c r="S532" s="182"/>
      <c r="T532" s="182"/>
      <c r="U532" s="182"/>
      <c r="V532" s="182"/>
      <c r="W532" s="182"/>
      <c r="X532" s="182"/>
      <c r="Y532" s="182"/>
    </row>
    <row r="533" spans="1:25" ht="15.75" hidden="1" customHeight="1" x14ac:dyDescent="0.2">
      <c r="A533" s="182"/>
      <c r="B533" s="175"/>
      <c r="C533" s="176"/>
      <c r="D533" s="176"/>
      <c r="E533" s="176"/>
      <c r="F533" s="123"/>
      <c r="G533" s="123"/>
      <c r="H533" s="123"/>
      <c r="I533" s="123"/>
      <c r="J533" s="174"/>
      <c r="K533" s="182"/>
      <c r="L533" s="182"/>
      <c r="M533" s="182"/>
      <c r="N533" s="182"/>
      <c r="O533" s="182"/>
      <c r="P533" s="182"/>
      <c r="Q533" s="182"/>
      <c r="R533" s="182"/>
      <c r="S533" s="182"/>
      <c r="T533" s="182"/>
      <c r="U533" s="182"/>
      <c r="V533" s="182"/>
      <c r="W533" s="182"/>
      <c r="X533" s="182"/>
      <c r="Y533" s="182"/>
    </row>
    <row r="534" spans="1:25" ht="15.75" hidden="1" customHeight="1" x14ac:dyDescent="0.2">
      <c r="A534" s="182"/>
      <c r="B534" s="175"/>
      <c r="C534" s="176"/>
      <c r="D534" s="176"/>
      <c r="E534" s="176"/>
      <c r="F534" s="123"/>
      <c r="G534" s="123"/>
      <c r="H534" s="123"/>
      <c r="I534" s="123"/>
      <c r="J534" s="174"/>
      <c r="K534" s="182"/>
      <c r="L534" s="182"/>
      <c r="M534" s="182"/>
      <c r="N534" s="182"/>
      <c r="O534" s="182"/>
      <c r="P534" s="182"/>
      <c r="Q534" s="182"/>
      <c r="R534" s="182"/>
      <c r="S534" s="182"/>
      <c r="T534" s="182"/>
      <c r="U534" s="182"/>
      <c r="V534" s="182"/>
      <c r="W534" s="182"/>
      <c r="X534" s="182"/>
      <c r="Y534" s="182"/>
    </row>
    <row r="535" spans="1:25" ht="15.75" hidden="1" customHeight="1" x14ac:dyDescent="0.2">
      <c r="A535" s="182"/>
      <c r="B535" s="175"/>
      <c r="C535" s="176"/>
      <c r="D535" s="176"/>
      <c r="E535" s="176"/>
      <c r="F535" s="123"/>
      <c r="G535" s="123"/>
      <c r="H535" s="123"/>
      <c r="I535" s="123"/>
      <c r="J535" s="174"/>
      <c r="K535" s="182"/>
      <c r="L535" s="182"/>
      <c r="M535" s="182"/>
      <c r="N535" s="182"/>
      <c r="O535" s="182"/>
      <c r="P535" s="182"/>
      <c r="Q535" s="182"/>
      <c r="R535" s="182"/>
      <c r="S535" s="182"/>
      <c r="T535" s="182"/>
      <c r="U535" s="182"/>
      <c r="V535" s="182"/>
      <c r="W535" s="182"/>
      <c r="X535" s="182"/>
      <c r="Y535" s="182"/>
    </row>
    <row r="536" spans="1:25" ht="15.75" hidden="1" customHeight="1" x14ac:dyDescent="0.2">
      <c r="A536" s="182"/>
      <c r="B536" s="175"/>
      <c r="C536" s="176"/>
      <c r="D536" s="176"/>
      <c r="E536" s="176"/>
      <c r="F536" s="123"/>
      <c r="G536" s="123"/>
      <c r="H536" s="123"/>
      <c r="I536" s="123"/>
      <c r="J536" s="174"/>
      <c r="K536" s="182"/>
      <c r="L536" s="182"/>
      <c r="M536" s="182"/>
      <c r="N536" s="182"/>
      <c r="O536" s="182"/>
      <c r="P536" s="182"/>
      <c r="Q536" s="182"/>
      <c r="R536" s="182"/>
      <c r="S536" s="182"/>
      <c r="T536" s="182"/>
      <c r="U536" s="182"/>
      <c r="V536" s="182"/>
      <c r="W536" s="182"/>
      <c r="X536" s="182"/>
      <c r="Y536" s="182"/>
    </row>
    <row r="537" spans="1:25" ht="15.75" hidden="1" customHeight="1" x14ac:dyDescent="0.2">
      <c r="A537" s="182"/>
      <c r="B537" s="175"/>
      <c r="C537" s="176"/>
      <c r="D537" s="176"/>
      <c r="E537" s="176"/>
      <c r="F537" s="123"/>
      <c r="G537" s="123"/>
      <c r="H537" s="123"/>
      <c r="I537" s="123"/>
      <c r="J537" s="174"/>
      <c r="K537" s="182"/>
      <c r="L537" s="182"/>
      <c r="M537" s="182"/>
      <c r="N537" s="182"/>
      <c r="O537" s="182"/>
      <c r="P537" s="182"/>
      <c r="Q537" s="182"/>
      <c r="R537" s="182"/>
      <c r="S537" s="182"/>
      <c r="T537" s="182"/>
      <c r="U537" s="182"/>
      <c r="V537" s="182"/>
      <c r="W537" s="182"/>
      <c r="X537" s="182"/>
      <c r="Y537" s="182"/>
    </row>
    <row r="538" spans="1:25" ht="15.75" hidden="1" customHeight="1" x14ac:dyDescent="0.2">
      <c r="A538" s="182"/>
      <c r="B538" s="175"/>
      <c r="C538" s="176"/>
      <c r="D538" s="176"/>
      <c r="E538" s="176"/>
      <c r="F538" s="123"/>
      <c r="G538" s="123"/>
      <c r="H538" s="123"/>
      <c r="I538" s="123"/>
      <c r="J538" s="174"/>
      <c r="K538" s="182"/>
      <c r="L538" s="182"/>
      <c r="M538" s="182"/>
      <c r="N538" s="182"/>
      <c r="O538" s="182"/>
      <c r="P538" s="182"/>
      <c r="Q538" s="182"/>
      <c r="R538" s="182"/>
      <c r="S538" s="182"/>
      <c r="T538" s="182"/>
      <c r="U538" s="182"/>
      <c r="V538" s="182"/>
      <c r="W538" s="182"/>
      <c r="X538" s="182"/>
      <c r="Y538" s="182"/>
    </row>
    <row r="539" spans="1:25" ht="15.75" hidden="1" customHeight="1" x14ac:dyDescent="0.2">
      <c r="A539" s="182"/>
      <c r="B539" s="175"/>
      <c r="C539" s="176"/>
      <c r="D539" s="176"/>
      <c r="E539" s="176"/>
      <c r="F539" s="123"/>
      <c r="G539" s="123"/>
      <c r="H539" s="123"/>
      <c r="I539" s="123"/>
      <c r="J539" s="174"/>
      <c r="K539" s="182"/>
      <c r="L539" s="182"/>
      <c r="M539" s="182"/>
      <c r="N539" s="182"/>
      <c r="O539" s="182"/>
      <c r="P539" s="182"/>
      <c r="Q539" s="182"/>
      <c r="R539" s="182"/>
      <c r="S539" s="182"/>
      <c r="T539" s="182"/>
      <c r="U539" s="182"/>
      <c r="V539" s="182"/>
      <c r="W539" s="182"/>
      <c r="X539" s="182"/>
      <c r="Y539" s="182"/>
    </row>
    <row r="540" spans="1:25" ht="15.75" hidden="1" customHeight="1" x14ac:dyDescent="0.2">
      <c r="A540" s="182"/>
      <c r="B540" s="175"/>
      <c r="C540" s="176"/>
      <c r="D540" s="176"/>
      <c r="E540" s="176"/>
      <c r="F540" s="123"/>
      <c r="G540" s="123"/>
      <c r="H540" s="123"/>
      <c r="I540" s="123"/>
      <c r="J540" s="174"/>
      <c r="K540" s="182"/>
      <c r="L540" s="182"/>
      <c r="M540" s="182"/>
      <c r="N540" s="182"/>
      <c r="O540" s="182"/>
      <c r="P540" s="182"/>
      <c r="Q540" s="182"/>
      <c r="R540" s="182"/>
      <c r="S540" s="182"/>
      <c r="T540" s="182"/>
      <c r="U540" s="182"/>
      <c r="V540" s="182"/>
      <c r="W540" s="182"/>
      <c r="X540" s="182"/>
      <c r="Y540" s="182"/>
    </row>
    <row r="541" spans="1:25" ht="15.75" hidden="1" customHeight="1" x14ac:dyDescent="0.2">
      <c r="A541" s="182"/>
      <c r="B541" s="175"/>
      <c r="C541" s="176"/>
      <c r="D541" s="176"/>
      <c r="E541" s="176"/>
      <c r="F541" s="123"/>
      <c r="G541" s="123"/>
      <c r="H541" s="123"/>
      <c r="I541" s="123"/>
      <c r="J541" s="174"/>
      <c r="K541" s="182"/>
      <c r="L541" s="182"/>
      <c r="M541" s="182"/>
      <c r="N541" s="182"/>
      <c r="O541" s="182"/>
      <c r="P541" s="182"/>
      <c r="Q541" s="182"/>
      <c r="R541" s="182"/>
      <c r="S541" s="182"/>
      <c r="T541" s="182"/>
      <c r="U541" s="182"/>
      <c r="V541" s="182"/>
      <c r="W541" s="182"/>
      <c r="X541" s="182"/>
      <c r="Y541" s="182"/>
    </row>
    <row r="542" spans="1:25" ht="15.75" hidden="1" customHeight="1" x14ac:dyDescent="0.2">
      <c r="A542" s="182"/>
      <c r="B542" s="175"/>
      <c r="C542" s="176"/>
      <c r="D542" s="176"/>
      <c r="E542" s="176"/>
      <c r="F542" s="123"/>
      <c r="G542" s="123"/>
      <c r="H542" s="123"/>
      <c r="I542" s="123"/>
      <c r="J542" s="174"/>
      <c r="K542" s="182"/>
      <c r="L542" s="182"/>
      <c r="M542" s="182"/>
      <c r="N542" s="182"/>
      <c r="O542" s="182"/>
      <c r="P542" s="182"/>
      <c r="Q542" s="182"/>
      <c r="R542" s="182"/>
      <c r="S542" s="182"/>
      <c r="T542" s="182"/>
      <c r="U542" s="182"/>
      <c r="V542" s="182"/>
      <c r="W542" s="182"/>
      <c r="X542" s="182"/>
      <c r="Y542" s="182"/>
    </row>
    <row r="543" spans="1:25" ht="15.75" hidden="1" customHeight="1" x14ac:dyDescent="0.2">
      <c r="A543" s="182"/>
      <c r="B543" s="175"/>
      <c r="C543" s="176"/>
      <c r="D543" s="176"/>
      <c r="E543" s="176"/>
      <c r="F543" s="123"/>
      <c r="G543" s="123"/>
      <c r="H543" s="123"/>
      <c r="I543" s="123"/>
      <c r="J543" s="174"/>
      <c r="K543" s="182"/>
      <c r="L543" s="182"/>
      <c r="M543" s="182"/>
      <c r="N543" s="182"/>
      <c r="O543" s="182"/>
      <c r="P543" s="182"/>
      <c r="Q543" s="182"/>
      <c r="R543" s="182"/>
      <c r="S543" s="182"/>
      <c r="T543" s="182"/>
      <c r="U543" s="182"/>
      <c r="V543" s="182"/>
      <c r="W543" s="182"/>
      <c r="X543" s="182"/>
      <c r="Y543" s="182"/>
    </row>
    <row r="544" spans="1:25" ht="15.75" hidden="1" customHeight="1" x14ac:dyDescent="0.2">
      <c r="A544" s="182"/>
      <c r="B544" s="175"/>
      <c r="C544" s="176"/>
      <c r="D544" s="176"/>
      <c r="E544" s="176"/>
      <c r="F544" s="123"/>
      <c r="G544" s="123"/>
      <c r="H544" s="123"/>
      <c r="I544" s="123"/>
      <c r="J544" s="174"/>
      <c r="K544" s="182"/>
      <c r="L544" s="182"/>
      <c r="M544" s="182"/>
      <c r="N544" s="182"/>
      <c r="O544" s="182"/>
      <c r="P544" s="182"/>
      <c r="Q544" s="182"/>
      <c r="R544" s="182"/>
      <c r="S544" s="182"/>
      <c r="T544" s="182"/>
      <c r="U544" s="182"/>
      <c r="V544" s="182"/>
      <c r="W544" s="182"/>
      <c r="X544" s="182"/>
      <c r="Y544" s="182"/>
    </row>
    <row r="545" spans="1:25" ht="15.75" hidden="1" customHeight="1" x14ac:dyDescent="0.2">
      <c r="A545" s="182"/>
      <c r="B545" s="175"/>
      <c r="C545" s="176"/>
      <c r="D545" s="176"/>
      <c r="E545" s="176"/>
      <c r="F545" s="123"/>
      <c r="G545" s="123"/>
      <c r="H545" s="123"/>
      <c r="I545" s="123"/>
      <c r="J545" s="174"/>
      <c r="K545" s="182"/>
      <c r="L545" s="182"/>
      <c r="M545" s="182"/>
      <c r="N545" s="182"/>
      <c r="O545" s="182"/>
      <c r="P545" s="182"/>
      <c r="Q545" s="182"/>
      <c r="R545" s="182"/>
      <c r="S545" s="182"/>
      <c r="T545" s="182"/>
      <c r="U545" s="182"/>
      <c r="V545" s="182"/>
      <c r="W545" s="182"/>
      <c r="X545" s="182"/>
      <c r="Y545" s="182"/>
    </row>
    <row r="546" spans="1:25" ht="15.75" hidden="1" customHeight="1" x14ac:dyDescent="0.2">
      <c r="A546" s="182"/>
      <c r="B546" s="175"/>
      <c r="C546" s="176"/>
      <c r="D546" s="176"/>
      <c r="E546" s="176"/>
      <c r="F546" s="123"/>
      <c r="G546" s="123"/>
      <c r="H546" s="123"/>
      <c r="I546" s="123"/>
      <c r="J546" s="174"/>
      <c r="K546" s="182"/>
      <c r="L546" s="182"/>
      <c r="M546" s="182"/>
      <c r="N546" s="182"/>
      <c r="O546" s="182"/>
      <c r="P546" s="182"/>
      <c r="Q546" s="182"/>
      <c r="R546" s="182"/>
      <c r="S546" s="182"/>
      <c r="T546" s="182"/>
      <c r="U546" s="182"/>
      <c r="V546" s="182"/>
      <c r="W546" s="182"/>
      <c r="X546" s="182"/>
      <c r="Y546" s="182"/>
    </row>
    <row r="547" spans="1:25" ht="15.75" hidden="1" customHeight="1" x14ac:dyDescent="0.2">
      <c r="A547" s="182"/>
      <c r="B547" s="175"/>
      <c r="C547" s="176"/>
      <c r="D547" s="176"/>
      <c r="E547" s="176"/>
      <c r="F547" s="123"/>
      <c r="G547" s="123"/>
      <c r="H547" s="123"/>
      <c r="I547" s="123"/>
      <c r="J547" s="174"/>
      <c r="K547" s="182"/>
      <c r="L547" s="182"/>
      <c r="M547" s="182"/>
      <c r="N547" s="182"/>
      <c r="O547" s="182"/>
      <c r="P547" s="182"/>
      <c r="Q547" s="182"/>
      <c r="R547" s="182"/>
      <c r="S547" s="182"/>
      <c r="T547" s="182"/>
      <c r="U547" s="182"/>
      <c r="V547" s="182"/>
      <c r="W547" s="182"/>
      <c r="X547" s="182"/>
      <c r="Y547" s="182"/>
    </row>
    <row r="548" spans="1:25" ht="15.75" hidden="1" customHeight="1" x14ac:dyDescent="0.2">
      <c r="A548" s="182"/>
      <c r="B548" s="175"/>
      <c r="C548" s="176"/>
      <c r="D548" s="176"/>
      <c r="E548" s="176"/>
      <c r="F548" s="123"/>
      <c r="G548" s="123"/>
      <c r="H548" s="123"/>
      <c r="I548" s="123"/>
      <c r="J548" s="174"/>
      <c r="K548" s="182"/>
      <c r="L548" s="182"/>
      <c r="M548" s="182"/>
      <c r="N548" s="182"/>
      <c r="O548" s="182"/>
      <c r="P548" s="182"/>
      <c r="Q548" s="182"/>
      <c r="R548" s="182"/>
      <c r="S548" s="182"/>
      <c r="T548" s="182"/>
      <c r="U548" s="182"/>
      <c r="V548" s="182"/>
      <c r="W548" s="182"/>
      <c r="X548" s="182"/>
      <c r="Y548" s="182"/>
    </row>
    <row r="549" spans="1:25" ht="15.75" hidden="1" customHeight="1" x14ac:dyDescent="0.2">
      <c r="A549" s="182"/>
      <c r="B549" s="175"/>
      <c r="C549" s="176"/>
      <c r="D549" s="176"/>
      <c r="E549" s="176"/>
      <c r="F549" s="123"/>
      <c r="G549" s="123"/>
      <c r="H549" s="123"/>
      <c r="I549" s="123"/>
      <c r="J549" s="174"/>
      <c r="K549" s="182"/>
      <c r="L549" s="182"/>
      <c r="M549" s="182"/>
      <c r="N549" s="182"/>
      <c r="O549" s="182"/>
      <c r="P549" s="182"/>
      <c r="Q549" s="182"/>
      <c r="R549" s="182"/>
      <c r="S549" s="182"/>
      <c r="T549" s="182"/>
      <c r="U549" s="182"/>
      <c r="V549" s="182"/>
      <c r="W549" s="182"/>
      <c r="X549" s="182"/>
      <c r="Y549" s="182"/>
    </row>
    <row r="550" spans="1:25" ht="15.75" hidden="1" customHeight="1" x14ac:dyDescent="0.2">
      <c r="A550" s="182"/>
      <c r="B550" s="175"/>
      <c r="C550" s="176"/>
      <c r="D550" s="176"/>
      <c r="E550" s="176"/>
      <c r="F550" s="123"/>
      <c r="G550" s="123"/>
      <c r="H550" s="123"/>
      <c r="I550" s="123"/>
      <c r="J550" s="174"/>
      <c r="K550" s="182"/>
      <c r="L550" s="182"/>
      <c r="M550" s="182"/>
      <c r="N550" s="182"/>
      <c r="O550" s="182"/>
      <c r="P550" s="182"/>
      <c r="Q550" s="182"/>
      <c r="R550" s="182"/>
      <c r="S550" s="182"/>
      <c r="T550" s="182"/>
      <c r="U550" s="182"/>
      <c r="V550" s="182"/>
      <c r="W550" s="182"/>
      <c r="X550" s="182"/>
      <c r="Y550" s="182"/>
    </row>
    <row r="551" spans="1:25" ht="15.75" hidden="1" customHeight="1" x14ac:dyDescent="0.2">
      <c r="A551" s="182"/>
      <c r="B551" s="175"/>
      <c r="C551" s="176"/>
      <c r="D551" s="176"/>
      <c r="E551" s="176"/>
      <c r="F551" s="123"/>
      <c r="G551" s="123"/>
      <c r="H551" s="123"/>
      <c r="I551" s="123"/>
      <c r="J551" s="174"/>
      <c r="K551" s="182"/>
      <c r="L551" s="182"/>
      <c r="M551" s="182"/>
      <c r="N551" s="182"/>
      <c r="O551" s="182"/>
      <c r="P551" s="182"/>
      <c r="Q551" s="182"/>
      <c r="R551" s="182"/>
      <c r="S551" s="182"/>
      <c r="T551" s="182"/>
      <c r="U551" s="182"/>
      <c r="V551" s="182"/>
      <c r="W551" s="182"/>
      <c r="X551" s="182"/>
      <c r="Y551" s="182"/>
    </row>
    <row r="552" spans="1:25" ht="15.75" hidden="1" customHeight="1" x14ac:dyDescent="0.2">
      <c r="A552" s="182"/>
      <c r="B552" s="175"/>
      <c r="C552" s="176"/>
      <c r="D552" s="176"/>
      <c r="E552" s="176"/>
      <c r="F552" s="123"/>
      <c r="G552" s="123"/>
      <c r="H552" s="123"/>
      <c r="I552" s="123"/>
      <c r="J552" s="174"/>
      <c r="K552" s="182"/>
      <c r="L552" s="182"/>
      <c r="M552" s="182"/>
      <c r="N552" s="182"/>
      <c r="O552" s="182"/>
      <c r="P552" s="182"/>
      <c r="Q552" s="182"/>
      <c r="R552" s="182"/>
      <c r="S552" s="182"/>
      <c r="T552" s="182"/>
      <c r="U552" s="182"/>
      <c r="V552" s="182"/>
      <c r="W552" s="182"/>
      <c r="X552" s="182"/>
      <c r="Y552" s="182"/>
    </row>
    <row r="553" spans="1:25" ht="15.75" hidden="1" customHeight="1" x14ac:dyDescent="0.2">
      <c r="A553" s="182"/>
      <c r="B553" s="175"/>
      <c r="C553" s="176"/>
      <c r="D553" s="176"/>
      <c r="E553" s="176"/>
      <c r="F553" s="123"/>
      <c r="G553" s="123"/>
      <c r="H553" s="123"/>
      <c r="I553" s="123"/>
      <c r="J553" s="174"/>
      <c r="K553" s="182"/>
      <c r="L553" s="182"/>
      <c r="M553" s="182"/>
      <c r="N553" s="182"/>
      <c r="O553" s="182"/>
      <c r="P553" s="182"/>
      <c r="Q553" s="182"/>
      <c r="R553" s="182"/>
      <c r="S553" s="182"/>
      <c r="T553" s="182"/>
      <c r="U553" s="182"/>
      <c r="V553" s="182"/>
      <c r="W553" s="182"/>
      <c r="X553" s="182"/>
      <c r="Y553" s="182"/>
    </row>
    <row r="554" spans="1:25" ht="15.75" hidden="1" customHeight="1" x14ac:dyDescent="0.2">
      <c r="A554" s="182"/>
      <c r="B554" s="175"/>
      <c r="C554" s="176"/>
      <c r="D554" s="176"/>
      <c r="E554" s="176"/>
      <c r="F554" s="123"/>
      <c r="G554" s="123"/>
      <c r="H554" s="123"/>
      <c r="I554" s="123"/>
      <c r="J554" s="174"/>
      <c r="K554" s="182"/>
      <c r="L554" s="182"/>
      <c r="M554" s="182"/>
      <c r="N554" s="182"/>
      <c r="O554" s="182"/>
      <c r="P554" s="182"/>
      <c r="Q554" s="182"/>
      <c r="R554" s="182"/>
      <c r="S554" s="182"/>
      <c r="T554" s="182"/>
      <c r="U554" s="182"/>
      <c r="V554" s="182"/>
      <c r="W554" s="182"/>
      <c r="X554" s="182"/>
      <c r="Y554" s="182"/>
    </row>
    <row r="555" spans="1:25" ht="15.75" hidden="1" customHeight="1" x14ac:dyDescent="0.2">
      <c r="A555" s="182"/>
      <c r="B555" s="175"/>
      <c r="C555" s="176"/>
      <c r="D555" s="176"/>
      <c r="E555" s="176"/>
      <c r="F555" s="123"/>
      <c r="G555" s="123"/>
      <c r="H555" s="123"/>
      <c r="I555" s="123"/>
      <c r="J555" s="174"/>
      <c r="K555" s="182"/>
      <c r="L555" s="182"/>
      <c r="M555" s="182"/>
      <c r="N555" s="182"/>
      <c r="O555" s="182"/>
      <c r="P555" s="182"/>
      <c r="Q555" s="182"/>
      <c r="R555" s="182"/>
      <c r="S555" s="182"/>
      <c r="T555" s="182"/>
      <c r="U555" s="182"/>
      <c r="V555" s="182"/>
      <c r="W555" s="182"/>
      <c r="X555" s="182"/>
      <c r="Y555" s="182"/>
    </row>
    <row r="556" spans="1:25" ht="15.75" hidden="1" customHeight="1" x14ac:dyDescent="0.2">
      <c r="A556" s="182"/>
      <c r="B556" s="175"/>
      <c r="C556" s="176"/>
      <c r="D556" s="176"/>
      <c r="E556" s="176"/>
      <c r="F556" s="123"/>
      <c r="G556" s="123"/>
      <c r="H556" s="123"/>
      <c r="I556" s="123"/>
      <c r="J556" s="174"/>
      <c r="K556" s="182"/>
      <c r="L556" s="182"/>
      <c r="M556" s="182"/>
      <c r="N556" s="182"/>
      <c r="O556" s="182"/>
      <c r="P556" s="182"/>
      <c r="Q556" s="182"/>
      <c r="R556" s="182"/>
      <c r="S556" s="182"/>
      <c r="T556" s="182"/>
      <c r="U556" s="182"/>
      <c r="V556" s="182"/>
      <c r="W556" s="182"/>
      <c r="X556" s="182"/>
      <c r="Y556" s="182"/>
    </row>
    <row r="557" spans="1:25" ht="15.75" hidden="1" customHeight="1" x14ac:dyDescent="0.2">
      <c r="A557" s="182"/>
      <c r="B557" s="175"/>
      <c r="C557" s="176"/>
      <c r="D557" s="176"/>
      <c r="E557" s="176"/>
      <c r="F557" s="123"/>
      <c r="G557" s="123"/>
      <c r="H557" s="123"/>
      <c r="I557" s="123"/>
      <c r="J557" s="174"/>
      <c r="K557" s="182"/>
      <c r="L557" s="182"/>
      <c r="M557" s="182"/>
      <c r="N557" s="182"/>
      <c r="O557" s="182"/>
      <c r="P557" s="182"/>
      <c r="Q557" s="182"/>
      <c r="R557" s="182"/>
      <c r="S557" s="182"/>
      <c r="T557" s="182"/>
      <c r="U557" s="182"/>
      <c r="V557" s="182"/>
      <c r="W557" s="182"/>
      <c r="X557" s="182"/>
      <c r="Y557" s="182"/>
    </row>
    <row r="558" spans="1:25" ht="15.75" hidden="1" customHeight="1" x14ac:dyDescent="0.2">
      <c r="A558" s="182"/>
      <c r="B558" s="175"/>
      <c r="C558" s="176"/>
      <c r="D558" s="176"/>
      <c r="E558" s="176"/>
      <c r="F558" s="123"/>
      <c r="G558" s="123"/>
      <c r="H558" s="123"/>
      <c r="I558" s="123"/>
      <c r="J558" s="174"/>
      <c r="K558" s="182"/>
      <c r="L558" s="182"/>
      <c r="M558" s="182"/>
      <c r="N558" s="182"/>
      <c r="O558" s="182"/>
      <c r="P558" s="182"/>
      <c r="Q558" s="182"/>
      <c r="R558" s="182"/>
      <c r="S558" s="182"/>
      <c r="T558" s="182"/>
      <c r="U558" s="182"/>
      <c r="V558" s="182"/>
      <c r="W558" s="182"/>
      <c r="X558" s="182"/>
      <c r="Y558" s="182"/>
    </row>
    <row r="559" spans="1:25" ht="15.75" hidden="1" customHeight="1" x14ac:dyDescent="0.2">
      <c r="A559" s="182"/>
      <c r="B559" s="175"/>
      <c r="C559" s="176"/>
      <c r="D559" s="176"/>
      <c r="E559" s="176"/>
      <c r="F559" s="123"/>
      <c r="G559" s="123"/>
      <c r="H559" s="123"/>
      <c r="I559" s="123"/>
      <c r="J559" s="174"/>
      <c r="K559" s="182"/>
      <c r="L559" s="182"/>
      <c r="M559" s="182"/>
      <c r="N559" s="182"/>
      <c r="O559" s="182"/>
      <c r="P559" s="182"/>
      <c r="Q559" s="182"/>
      <c r="R559" s="182"/>
      <c r="S559" s="182"/>
      <c r="T559" s="182"/>
      <c r="U559" s="182"/>
      <c r="V559" s="182"/>
      <c r="W559" s="182"/>
      <c r="X559" s="182"/>
      <c r="Y559" s="182"/>
    </row>
    <row r="560" spans="1:25" ht="15.75" hidden="1" customHeight="1" x14ac:dyDescent="0.2">
      <c r="A560" s="182"/>
      <c r="B560" s="175"/>
      <c r="C560" s="176"/>
      <c r="D560" s="176"/>
      <c r="E560" s="176"/>
      <c r="F560" s="123"/>
      <c r="G560" s="123"/>
      <c r="H560" s="123"/>
      <c r="I560" s="123"/>
      <c r="J560" s="174"/>
      <c r="K560" s="182"/>
      <c r="L560" s="182"/>
      <c r="M560" s="182"/>
      <c r="N560" s="182"/>
      <c r="O560" s="182"/>
      <c r="P560" s="182"/>
      <c r="Q560" s="182"/>
      <c r="R560" s="182"/>
      <c r="S560" s="182"/>
      <c r="T560" s="182"/>
      <c r="U560" s="182"/>
      <c r="V560" s="182"/>
      <c r="W560" s="182"/>
      <c r="X560" s="182"/>
      <c r="Y560" s="182"/>
    </row>
    <row r="561" spans="1:25" ht="15.75" hidden="1" customHeight="1" x14ac:dyDescent="0.2">
      <c r="A561" s="182"/>
      <c r="B561" s="175"/>
      <c r="C561" s="176"/>
      <c r="D561" s="176"/>
      <c r="E561" s="176"/>
      <c r="F561" s="123"/>
      <c r="G561" s="123"/>
      <c r="H561" s="123"/>
      <c r="I561" s="123"/>
      <c r="J561" s="174"/>
      <c r="K561" s="182"/>
      <c r="L561" s="182"/>
      <c r="M561" s="182"/>
      <c r="N561" s="182"/>
      <c r="O561" s="182"/>
      <c r="P561" s="182"/>
      <c r="Q561" s="182"/>
      <c r="R561" s="182"/>
      <c r="S561" s="182"/>
      <c r="T561" s="182"/>
      <c r="U561" s="182"/>
      <c r="V561" s="182"/>
      <c r="W561" s="182"/>
      <c r="X561" s="182"/>
      <c r="Y561" s="182"/>
    </row>
    <row r="562" spans="1:25" ht="15.75" hidden="1" customHeight="1" x14ac:dyDescent="0.2">
      <c r="A562" s="182"/>
      <c r="B562" s="175"/>
      <c r="C562" s="176"/>
      <c r="D562" s="176"/>
      <c r="E562" s="176"/>
      <c r="F562" s="123"/>
      <c r="G562" s="123"/>
      <c r="H562" s="123"/>
      <c r="I562" s="123"/>
      <c r="J562" s="174"/>
      <c r="K562" s="182"/>
      <c r="L562" s="182"/>
      <c r="M562" s="182"/>
      <c r="N562" s="182"/>
      <c r="O562" s="182"/>
      <c r="P562" s="182"/>
      <c r="Q562" s="182"/>
      <c r="R562" s="182"/>
      <c r="S562" s="182"/>
      <c r="T562" s="182"/>
      <c r="U562" s="182"/>
      <c r="V562" s="182"/>
      <c r="W562" s="182"/>
      <c r="X562" s="182"/>
      <c r="Y562" s="182"/>
    </row>
    <row r="563" spans="1:25" ht="15.75" hidden="1" customHeight="1" x14ac:dyDescent="0.2">
      <c r="A563" s="182"/>
      <c r="B563" s="175"/>
      <c r="C563" s="176"/>
      <c r="D563" s="176"/>
      <c r="E563" s="176"/>
      <c r="F563" s="123"/>
      <c r="G563" s="123"/>
      <c r="H563" s="123"/>
      <c r="I563" s="123"/>
      <c r="J563" s="174"/>
      <c r="K563" s="182"/>
      <c r="L563" s="182"/>
      <c r="M563" s="182"/>
      <c r="N563" s="182"/>
      <c r="O563" s="182"/>
      <c r="P563" s="182"/>
      <c r="Q563" s="182"/>
      <c r="R563" s="182"/>
      <c r="S563" s="182"/>
      <c r="T563" s="182"/>
      <c r="U563" s="182"/>
      <c r="V563" s="182"/>
      <c r="W563" s="182"/>
      <c r="X563" s="182"/>
      <c r="Y563" s="182"/>
    </row>
    <row r="564" spans="1:25" ht="15.75" hidden="1" customHeight="1" x14ac:dyDescent="0.2">
      <c r="A564" s="182"/>
      <c r="B564" s="175"/>
      <c r="C564" s="176"/>
      <c r="D564" s="176"/>
      <c r="E564" s="176"/>
      <c r="F564" s="123"/>
      <c r="G564" s="123"/>
      <c r="H564" s="123"/>
      <c r="I564" s="123"/>
      <c r="J564" s="174"/>
      <c r="K564" s="182"/>
      <c r="L564" s="182"/>
      <c r="M564" s="182"/>
      <c r="N564" s="182"/>
      <c r="O564" s="182"/>
      <c r="P564" s="182"/>
      <c r="Q564" s="182"/>
      <c r="R564" s="182"/>
      <c r="S564" s="182"/>
      <c r="T564" s="182"/>
      <c r="U564" s="182"/>
      <c r="V564" s="182"/>
      <c r="W564" s="182"/>
      <c r="X564" s="182"/>
      <c r="Y564" s="182"/>
    </row>
    <row r="565" spans="1:25" ht="15.75" hidden="1" customHeight="1" x14ac:dyDescent="0.2">
      <c r="A565" s="182"/>
      <c r="B565" s="175"/>
      <c r="C565" s="176"/>
      <c r="D565" s="176"/>
      <c r="E565" s="176"/>
      <c r="F565" s="123"/>
      <c r="G565" s="123"/>
      <c r="H565" s="123"/>
      <c r="I565" s="123"/>
      <c r="J565" s="174"/>
      <c r="K565" s="182"/>
      <c r="L565" s="182"/>
      <c r="M565" s="182"/>
      <c r="N565" s="182"/>
      <c r="O565" s="182"/>
      <c r="P565" s="182"/>
      <c r="Q565" s="182"/>
      <c r="R565" s="182"/>
      <c r="S565" s="182"/>
      <c r="T565" s="182"/>
      <c r="U565" s="182"/>
      <c r="V565" s="182"/>
      <c r="W565" s="182"/>
      <c r="X565" s="182"/>
      <c r="Y565" s="182"/>
    </row>
    <row r="566" spans="1:25" ht="15.75" hidden="1" customHeight="1" x14ac:dyDescent="0.2">
      <c r="A566" s="182"/>
      <c r="B566" s="175"/>
      <c r="C566" s="176"/>
      <c r="D566" s="176"/>
      <c r="E566" s="176"/>
      <c r="F566" s="123"/>
      <c r="G566" s="123"/>
      <c r="H566" s="123"/>
      <c r="I566" s="123"/>
      <c r="J566" s="174"/>
      <c r="K566" s="182"/>
      <c r="L566" s="182"/>
      <c r="M566" s="182"/>
      <c r="N566" s="182"/>
      <c r="O566" s="182"/>
      <c r="P566" s="182"/>
      <c r="Q566" s="182"/>
      <c r="R566" s="182"/>
      <c r="S566" s="182"/>
      <c r="T566" s="182"/>
      <c r="U566" s="182"/>
      <c r="V566" s="182"/>
      <c r="W566" s="182"/>
      <c r="X566" s="182"/>
      <c r="Y566" s="182"/>
    </row>
    <row r="567" spans="1:25" ht="15.75" hidden="1" customHeight="1" x14ac:dyDescent="0.2">
      <c r="A567" s="182"/>
      <c r="B567" s="175"/>
      <c r="C567" s="176"/>
      <c r="D567" s="176"/>
      <c r="E567" s="176"/>
      <c r="F567" s="123"/>
      <c r="G567" s="123"/>
      <c r="H567" s="123"/>
      <c r="I567" s="123"/>
      <c r="J567" s="174"/>
      <c r="K567" s="182"/>
      <c r="L567" s="182"/>
      <c r="M567" s="182"/>
      <c r="N567" s="182"/>
      <c r="O567" s="182"/>
      <c r="P567" s="182"/>
      <c r="Q567" s="182"/>
      <c r="R567" s="182"/>
      <c r="S567" s="182"/>
      <c r="T567" s="182"/>
      <c r="U567" s="182"/>
      <c r="V567" s="182"/>
      <c r="W567" s="182"/>
      <c r="X567" s="182"/>
      <c r="Y567" s="182"/>
    </row>
    <row r="568" spans="1:25" ht="15.75" hidden="1" customHeight="1" x14ac:dyDescent="0.2">
      <c r="A568" s="182"/>
      <c r="B568" s="175"/>
      <c r="C568" s="176"/>
      <c r="D568" s="176"/>
      <c r="E568" s="176"/>
      <c r="F568" s="123"/>
      <c r="G568" s="123"/>
      <c r="H568" s="123"/>
      <c r="I568" s="123"/>
      <c r="J568" s="174"/>
      <c r="K568" s="182"/>
      <c r="L568" s="182"/>
      <c r="M568" s="182"/>
      <c r="N568" s="182"/>
      <c r="O568" s="182"/>
      <c r="P568" s="182"/>
      <c r="Q568" s="182"/>
      <c r="R568" s="182"/>
      <c r="S568" s="182"/>
      <c r="T568" s="182"/>
      <c r="U568" s="182"/>
      <c r="V568" s="182"/>
      <c r="W568" s="182"/>
      <c r="X568" s="182"/>
      <c r="Y568" s="182"/>
    </row>
    <row r="569" spans="1:25" ht="15.75" hidden="1" customHeight="1" x14ac:dyDescent="0.2">
      <c r="A569" s="182"/>
      <c r="B569" s="175"/>
      <c r="C569" s="176"/>
      <c r="D569" s="176"/>
      <c r="E569" s="176"/>
      <c r="F569" s="123"/>
      <c r="G569" s="123"/>
      <c r="H569" s="123"/>
      <c r="I569" s="123"/>
      <c r="J569" s="174"/>
      <c r="K569" s="182"/>
      <c r="L569" s="182"/>
      <c r="M569" s="182"/>
      <c r="N569" s="182"/>
      <c r="O569" s="182"/>
      <c r="P569" s="182"/>
      <c r="Q569" s="182"/>
      <c r="R569" s="182"/>
      <c r="S569" s="182"/>
      <c r="T569" s="182"/>
      <c r="U569" s="182"/>
      <c r="V569" s="182"/>
      <c r="W569" s="182"/>
      <c r="X569" s="182"/>
      <c r="Y569" s="182"/>
    </row>
    <row r="570" spans="1:25" ht="15.75" hidden="1" customHeight="1" x14ac:dyDescent="0.2">
      <c r="A570" s="182"/>
      <c r="B570" s="175"/>
      <c r="C570" s="176"/>
      <c r="D570" s="176"/>
      <c r="E570" s="176"/>
      <c r="F570" s="123"/>
      <c r="G570" s="123"/>
      <c r="H570" s="123"/>
      <c r="I570" s="123"/>
      <c r="J570" s="174"/>
      <c r="K570" s="182"/>
      <c r="L570" s="182"/>
      <c r="M570" s="182"/>
      <c r="N570" s="182"/>
      <c r="O570" s="182"/>
      <c r="P570" s="182"/>
      <c r="Q570" s="182"/>
      <c r="R570" s="182"/>
      <c r="S570" s="182"/>
      <c r="T570" s="182"/>
      <c r="U570" s="182"/>
      <c r="V570" s="182"/>
      <c r="W570" s="182"/>
      <c r="X570" s="182"/>
      <c r="Y570" s="182"/>
    </row>
    <row r="571" spans="1:25" ht="15.75" hidden="1" customHeight="1" x14ac:dyDescent="0.2">
      <c r="A571" s="182"/>
      <c r="B571" s="175"/>
      <c r="C571" s="176"/>
      <c r="D571" s="176"/>
      <c r="E571" s="176"/>
      <c r="F571" s="123"/>
      <c r="G571" s="123"/>
      <c r="H571" s="123"/>
      <c r="I571" s="123"/>
      <c r="J571" s="174"/>
      <c r="K571" s="182"/>
      <c r="L571" s="182"/>
      <c r="M571" s="182"/>
      <c r="N571" s="182"/>
      <c r="O571" s="182"/>
      <c r="P571" s="182"/>
      <c r="Q571" s="182"/>
      <c r="R571" s="182"/>
      <c r="S571" s="182"/>
      <c r="T571" s="182"/>
      <c r="U571" s="182"/>
      <c r="V571" s="182"/>
      <c r="W571" s="182"/>
      <c r="X571" s="182"/>
      <c r="Y571" s="182"/>
    </row>
    <row r="572" spans="1:25" ht="15.75" hidden="1" customHeight="1" x14ac:dyDescent="0.2">
      <c r="A572" s="182"/>
      <c r="B572" s="175"/>
      <c r="C572" s="176"/>
      <c r="D572" s="176"/>
      <c r="E572" s="176"/>
      <c r="F572" s="123"/>
      <c r="G572" s="123"/>
      <c r="H572" s="123"/>
      <c r="I572" s="123"/>
      <c r="J572" s="174"/>
      <c r="K572" s="182"/>
      <c r="L572" s="182"/>
      <c r="M572" s="182"/>
      <c r="N572" s="182"/>
      <c r="O572" s="182"/>
      <c r="P572" s="182"/>
      <c r="Q572" s="182"/>
      <c r="R572" s="182"/>
      <c r="S572" s="182"/>
      <c r="T572" s="182"/>
      <c r="U572" s="182"/>
      <c r="V572" s="182"/>
      <c r="W572" s="182"/>
      <c r="X572" s="182"/>
      <c r="Y572" s="182"/>
    </row>
    <row r="573" spans="1:25" ht="15.75" hidden="1" customHeight="1" x14ac:dyDescent="0.2">
      <c r="A573" s="182"/>
      <c r="B573" s="175"/>
      <c r="C573" s="176"/>
      <c r="D573" s="176"/>
      <c r="E573" s="176"/>
      <c r="F573" s="123"/>
      <c r="G573" s="123"/>
      <c r="H573" s="123"/>
      <c r="I573" s="123"/>
      <c r="J573" s="174"/>
      <c r="K573" s="182"/>
      <c r="L573" s="182"/>
      <c r="M573" s="182"/>
      <c r="N573" s="182"/>
      <c r="O573" s="182"/>
      <c r="P573" s="182"/>
      <c r="Q573" s="182"/>
      <c r="R573" s="182"/>
      <c r="S573" s="182"/>
      <c r="T573" s="182"/>
      <c r="U573" s="182"/>
      <c r="V573" s="182"/>
      <c r="W573" s="182"/>
      <c r="X573" s="182"/>
      <c r="Y573" s="182"/>
    </row>
    <row r="574" spans="1:25" ht="15.75" hidden="1" customHeight="1" x14ac:dyDescent="0.2">
      <c r="A574" s="182"/>
      <c r="B574" s="175"/>
      <c r="C574" s="176"/>
      <c r="D574" s="176"/>
      <c r="E574" s="176"/>
      <c r="F574" s="123"/>
      <c r="G574" s="123"/>
      <c r="H574" s="123"/>
      <c r="I574" s="123"/>
      <c r="J574" s="174"/>
      <c r="K574" s="182"/>
      <c r="L574" s="182"/>
      <c r="M574" s="182"/>
      <c r="N574" s="182"/>
      <c r="O574" s="182"/>
      <c r="P574" s="182"/>
      <c r="Q574" s="182"/>
      <c r="R574" s="182"/>
      <c r="S574" s="182"/>
      <c r="T574" s="182"/>
      <c r="U574" s="182"/>
      <c r="V574" s="182"/>
      <c r="W574" s="182"/>
      <c r="X574" s="182"/>
      <c r="Y574" s="182"/>
    </row>
    <row r="575" spans="1:25" ht="15.75" hidden="1" customHeight="1" x14ac:dyDescent="0.2">
      <c r="A575" s="182"/>
      <c r="B575" s="175"/>
      <c r="C575" s="176"/>
      <c r="D575" s="176"/>
      <c r="E575" s="176"/>
      <c r="F575" s="123"/>
      <c r="G575" s="123"/>
      <c r="H575" s="123"/>
      <c r="I575" s="123"/>
      <c r="J575" s="174"/>
      <c r="K575" s="182"/>
      <c r="L575" s="182"/>
      <c r="M575" s="182"/>
      <c r="N575" s="182"/>
      <c r="O575" s="182"/>
      <c r="P575" s="182"/>
      <c r="Q575" s="182"/>
      <c r="R575" s="182"/>
      <c r="S575" s="182"/>
      <c r="T575" s="182"/>
      <c r="U575" s="182"/>
      <c r="V575" s="182"/>
      <c r="W575" s="182"/>
      <c r="X575" s="182"/>
      <c r="Y575" s="182"/>
    </row>
    <row r="576" spans="1:25" ht="15.75" hidden="1" customHeight="1" x14ac:dyDescent="0.2">
      <c r="A576" s="182"/>
      <c r="B576" s="175"/>
      <c r="C576" s="176"/>
      <c r="D576" s="176"/>
      <c r="E576" s="176"/>
      <c r="F576" s="123"/>
      <c r="G576" s="123"/>
      <c r="H576" s="123"/>
      <c r="I576" s="123"/>
      <c r="J576" s="174"/>
      <c r="K576" s="182"/>
      <c r="L576" s="182"/>
      <c r="M576" s="182"/>
      <c r="N576" s="182"/>
      <c r="O576" s="182"/>
      <c r="P576" s="182"/>
      <c r="Q576" s="182"/>
      <c r="R576" s="182"/>
      <c r="S576" s="182"/>
      <c r="T576" s="182"/>
      <c r="U576" s="182"/>
      <c r="V576" s="182"/>
      <c r="W576" s="182"/>
      <c r="X576" s="182"/>
      <c r="Y576" s="182"/>
    </row>
    <row r="577" spans="1:25" ht="15.75" hidden="1" customHeight="1" x14ac:dyDescent="0.2">
      <c r="A577" s="182"/>
      <c r="B577" s="175"/>
      <c r="C577" s="176"/>
      <c r="D577" s="176"/>
      <c r="E577" s="176"/>
      <c r="F577" s="123"/>
      <c r="G577" s="123"/>
      <c r="H577" s="123"/>
      <c r="I577" s="123"/>
      <c r="J577" s="174"/>
      <c r="K577" s="182"/>
      <c r="L577" s="182"/>
      <c r="M577" s="182"/>
      <c r="N577" s="182"/>
      <c r="O577" s="182"/>
      <c r="P577" s="182"/>
      <c r="Q577" s="182"/>
      <c r="R577" s="182"/>
      <c r="S577" s="182"/>
      <c r="T577" s="182"/>
      <c r="U577" s="182"/>
      <c r="V577" s="182"/>
      <c r="W577" s="182"/>
      <c r="X577" s="182"/>
      <c r="Y577" s="182"/>
    </row>
    <row r="578" spans="1:25" ht="15.75" hidden="1" customHeight="1" x14ac:dyDescent="0.2">
      <c r="A578" s="182"/>
      <c r="B578" s="175"/>
      <c r="C578" s="176"/>
      <c r="D578" s="176"/>
      <c r="E578" s="176"/>
      <c r="F578" s="123"/>
      <c r="G578" s="123"/>
      <c r="H578" s="123"/>
      <c r="I578" s="123"/>
      <c r="J578" s="174"/>
      <c r="K578" s="182"/>
      <c r="L578" s="182"/>
      <c r="M578" s="182"/>
      <c r="N578" s="182"/>
      <c r="O578" s="182"/>
      <c r="P578" s="182"/>
      <c r="Q578" s="182"/>
      <c r="R578" s="182"/>
      <c r="S578" s="182"/>
      <c r="T578" s="182"/>
      <c r="U578" s="182"/>
      <c r="V578" s="182"/>
      <c r="W578" s="182"/>
      <c r="X578" s="182"/>
      <c r="Y578" s="182"/>
    </row>
    <row r="579" spans="1:25" ht="15.75" hidden="1" customHeight="1" x14ac:dyDescent="0.2">
      <c r="A579" s="182"/>
      <c r="B579" s="175"/>
      <c r="C579" s="176"/>
      <c r="D579" s="176"/>
      <c r="E579" s="176"/>
      <c r="F579" s="123"/>
      <c r="G579" s="123"/>
      <c r="H579" s="123"/>
      <c r="I579" s="123"/>
      <c r="J579" s="174"/>
      <c r="K579" s="182"/>
      <c r="L579" s="182"/>
      <c r="M579" s="182"/>
      <c r="N579" s="182"/>
      <c r="O579" s="182"/>
      <c r="P579" s="182"/>
      <c r="Q579" s="182"/>
      <c r="R579" s="182"/>
      <c r="S579" s="182"/>
      <c r="T579" s="182"/>
      <c r="U579" s="182"/>
      <c r="V579" s="182"/>
      <c r="W579" s="182"/>
      <c r="X579" s="182"/>
      <c r="Y579" s="182"/>
    </row>
    <row r="580" spans="1:25" ht="15.75" hidden="1" customHeight="1" x14ac:dyDescent="0.2">
      <c r="A580" s="182"/>
      <c r="B580" s="175"/>
      <c r="C580" s="176"/>
      <c r="D580" s="176"/>
      <c r="E580" s="176"/>
      <c r="F580" s="123"/>
      <c r="G580" s="123"/>
      <c r="H580" s="123"/>
      <c r="I580" s="123"/>
      <c r="J580" s="174"/>
      <c r="K580" s="182"/>
      <c r="L580" s="182"/>
      <c r="M580" s="182"/>
      <c r="N580" s="182"/>
      <c r="O580" s="182"/>
      <c r="P580" s="182"/>
      <c r="Q580" s="182"/>
      <c r="R580" s="182"/>
      <c r="S580" s="182"/>
      <c r="T580" s="182"/>
      <c r="U580" s="182"/>
      <c r="V580" s="182"/>
      <c r="W580" s="182"/>
      <c r="X580" s="182"/>
      <c r="Y580" s="182"/>
    </row>
    <row r="581" spans="1:25" ht="15.75" hidden="1" customHeight="1" x14ac:dyDescent="0.2">
      <c r="A581" s="182"/>
      <c r="B581" s="175"/>
      <c r="C581" s="176"/>
      <c r="D581" s="176"/>
      <c r="E581" s="176"/>
      <c r="F581" s="123"/>
      <c r="G581" s="123"/>
      <c r="H581" s="123"/>
      <c r="I581" s="123"/>
      <c r="J581" s="174"/>
      <c r="K581" s="182"/>
      <c r="L581" s="182"/>
      <c r="M581" s="182"/>
      <c r="N581" s="182"/>
      <c r="O581" s="182"/>
      <c r="P581" s="182"/>
      <c r="Q581" s="182"/>
      <c r="R581" s="182"/>
      <c r="S581" s="182"/>
      <c r="T581" s="182"/>
      <c r="U581" s="182"/>
      <c r="V581" s="182"/>
      <c r="W581" s="182"/>
      <c r="X581" s="182"/>
      <c r="Y581" s="182"/>
    </row>
    <row r="582" spans="1:25" ht="15.75" hidden="1" customHeight="1" x14ac:dyDescent="0.2">
      <c r="A582" s="182"/>
      <c r="B582" s="175"/>
      <c r="C582" s="176"/>
      <c r="D582" s="176"/>
      <c r="E582" s="176"/>
      <c r="F582" s="123"/>
      <c r="G582" s="123"/>
      <c r="H582" s="123"/>
      <c r="I582" s="123"/>
      <c r="J582" s="174"/>
      <c r="K582" s="182"/>
      <c r="L582" s="182"/>
      <c r="M582" s="182"/>
      <c r="N582" s="182"/>
      <c r="O582" s="182"/>
      <c r="P582" s="182"/>
      <c r="Q582" s="182"/>
      <c r="R582" s="182"/>
      <c r="S582" s="182"/>
      <c r="T582" s="182"/>
      <c r="U582" s="182"/>
      <c r="V582" s="182"/>
      <c r="W582" s="182"/>
      <c r="X582" s="182"/>
      <c r="Y582" s="182"/>
    </row>
    <row r="583" spans="1:25" ht="15.75" hidden="1" customHeight="1" x14ac:dyDescent="0.2">
      <c r="A583" s="182"/>
      <c r="B583" s="175"/>
      <c r="C583" s="176"/>
      <c r="D583" s="176"/>
      <c r="E583" s="176"/>
      <c r="F583" s="123"/>
      <c r="G583" s="123"/>
      <c r="H583" s="123"/>
      <c r="I583" s="123"/>
      <c r="J583" s="174"/>
      <c r="K583" s="182"/>
      <c r="L583" s="182"/>
      <c r="M583" s="182"/>
      <c r="N583" s="182"/>
      <c r="O583" s="182"/>
      <c r="P583" s="182"/>
      <c r="Q583" s="182"/>
      <c r="R583" s="182"/>
      <c r="S583" s="182"/>
      <c r="T583" s="182"/>
      <c r="U583" s="182"/>
      <c r="V583" s="182"/>
      <c r="W583" s="182"/>
      <c r="X583" s="182"/>
      <c r="Y583" s="182"/>
    </row>
    <row r="584" spans="1:25" ht="15.75" hidden="1" customHeight="1" x14ac:dyDescent="0.2">
      <c r="A584" s="182"/>
      <c r="B584" s="175"/>
      <c r="C584" s="176"/>
      <c r="D584" s="176"/>
      <c r="E584" s="176"/>
      <c r="F584" s="123"/>
      <c r="G584" s="123"/>
      <c r="H584" s="123"/>
      <c r="I584" s="123"/>
      <c r="J584" s="174"/>
      <c r="K584" s="182"/>
      <c r="L584" s="182"/>
      <c r="M584" s="182"/>
      <c r="N584" s="182"/>
      <c r="O584" s="182"/>
      <c r="P584" s="182"/>
      <c r="Q584" s="182"/>
      <c r="R584" s="182"/>
      <c r="S584" s="182"/>
      <c r="T584" s="182"/>
      <c r="U584" s="182"/>
      <c r="V584" s="182"/>
      <c r="W584" s="182"/>
      <c r="X584" s="182"/>
      <c r="Y584" s="182"/>
    </row>
    <row r="585" spans="1:25" ht="15.75" hidden="1" customHeight="1" x14ac:dyDescent="0.2">
      <c r="A585" s="182"/>
      <c r="B585" s="175"/>
      <c r="C585" s="176"/>
      <c r="D585" s="176"/>
      <c r="E585" s="176"/>
      <c r="F585" s="123"/>
      <c r="G585" s="123"/>
      <c r="H585" s="123"/>
      <c r="I585" s="123"/>
      <c r="J585" s="174"/>
      <c r="K585" s="182"/>
      <c r="L585" s="182"/>
      <c r="M585" s="182"/>
      <c r="N585" s="182"/>
      <c r="O585" s="182"/>
      <c r="P585" s="182"/>
      <c r="Q585" s="182"/>
      <c r="R585" s="182"/>
      <c r="S585" s="182"/>
      <c r="T585" s="182"/>
      <c r="U585" s="182"/>
      <c r="V585" s="182"/>
      <c r="W585" s="182"/>
      <c r="X585" s="182"/>
      <c r="Y585" s="182"/>
    </row>
    <row r="586" spans="1:25" ht="15.75" hidden="1" customHeight="1" x14ac:dyDescent="0.2">
      <c r="A586" s="182"/>
      <c r="B586" s="175"/>
      <c r="C586" s="176"/>
      <c r="D586" s="176"/>
      <c r="E586" s="176"/>
      <c r="F586" s="123"/>
      <c r="G586" s="123"/>
      <c r="H586" s="123"/>
      <c r="I586" s="123"/>
      <c r="J586" s="174"/>
      <c r="K586" s="182"/>
      <c r="L586" s="182"/>
      <c r="M586" s="182"/>
      <c r="N586" s="182"/>
      <c r="O586" s="182"/>
      <c r="P586" s="182"/>
      <c r="Q586" s="182"/>
      <c r="R586" s="182"/>
      <c r="S586" s="182"/>
      <c r="T586" s="182"/>
      <c r="U586" s="182"/>
      <c r="V586" s="182"/>
      <c r="W586" s="182"/>
      <c r="X586" s="182"/>
      <c r="Y586" s="182"/>
    </row>
    <row r="587" spans="1:25" ht="15.75" hidden="1" customHeight="1" x14ac:dyDescent="0.2">
      <c r="A587" s="182"/>
      <c r="B587" s="175"/>
      <c r="C587" s="176"/>
      <c r="D587" s="176"/>
      <c r="E587" s="176"/>
      <c r="F587" s="123"/>
      <c r="G587" s="123"/>
      <c r="H587" s="123"/>
      <c r="I587" s="123"/>
      <c r="J587" s="174"/>
      <c r="K587" s="182"/>
      <c r="L587" s="182"/>
      <c r="M587" s="182"/>
      <c r="N587" s="182"/>
      <c r="O587" s="182"/>
      <c r="P587" s="182"/>
      <c r="Q587" s="182"/>
      <c r="R587" s="182"/>
      <c r="S587" s="182"/>
      <c r="T587" s="182"/>
      <c r="U587" s="182"/>
      <c r="V587" s="182"/>
      <c r="W587" s="182"/>
      <c r="X587" s="182"/>
      <c r="Y587" s="182"/>
    </row>
    <row r="588" spans="1:25" ht="15.75" hidden="1" customHeight="1" x14ac:dyDescent="0.2">
      <c r="A588" s="182"/>
      <c r="B588" s="175"/>
      <c r="C588" s="176"/>
      <c r="D588" s="176"/>
      <c r="E588" s="176"/>
      <c r="F588" s="123"/>
      <c r="G588" s="123"/>
      <c r="H588" s="123"/>
      <c r="I588" s="123"/>
      <c r="J588" s="174"/>
      <c r="K588" s="182"/>
      <c r="L588" s="182"/>
      <c r="M588" s="182"/>
      <c r="N588" s="182"/>
      <c r="O588" s="182"/>
      <c r="P588" s="182"/>
      <c r="Q588" s="182"/>
      <c r="R588" s="182"/>
      <c r="S588" s="182"/>
      <c r="T588" s="182"/>
      <c r="U588" s="182"/>
      <c r="V588" s="182"/>
      <c r="W588" s="182"/>
      <c r="X588" s="182"/>
      <c r="Y588" s="182"/>
    </row>
    <row r="589" spans="1:25" ht="15.75" hidden="1" customHeight="1" x14ac:dyDescent="0.2">
      <c r="A589" s="182"/>
      <c r="B589" s="175"/>
      <c r="C589" s="176"/>
      <c r="D589" s="176"/>
      <c r="E589" s="176"/>
      <c r="F589" s="123"/>
      <c r="G589" s="123"/>
      <c r="H589" s="123"/>
      <c r="I589" s="123"/>
      <c r="J589" s="174"/>
      <c r="K589" s="182"/>
      <c r="L589" s="182"/>
      <c r="M589" s="182"/>
      <c r="N589" s="182"/>
      <c r="O589" s="182"/>
      <c r="P589" s="182"/>
      <c r="Q589" s="182"/>
      <c r="R589" s="182"/>
      <c r="S589" s="182"/>
      <c r="T589" s="182"/>
      <c r="U589" s="182"/>
      <c r="V589" s="182"/>
      <c r="W589" s="182"/>
      <c r="X589" s="182"/>
      <c r="Y589" s="182"/>
    </row>
    <row r="590" spans="1:25" ht="15.75" hidden="1" customHeight="1" x14ac:dyDescent="0.2">
      <c r="A590" s="182"/>
      <c r="B590" s="175"/>
      <c r="C590" s="176"/>
      <c r="D590" s="176"/>
      <c r="E590" s="176"/>
      <c r="F590" s="123"/>
      <c r="G590" s="123"/>
      <c r="H590" s="123"/>
      <c r="I590" s="123"/>
      <c r="J590" s="174"/>
      <c r="K590" s="182"/>
      <c r="L590" s="182"/>
      <c r="M590" s="182"/>
      <c r="N590" s="182"/>
      <c r="O590" s="182"/>
      <c r="P590" s="182"/>
      <c r="Q590" s="182"/>
      <c r="R590" s="182"/>
      <c r="S590" s="182"/>
      <c r="T590" s="182"/>
      <c r="U590" s="182"/>
      <c r="V590" s="182"/>
      <c r="W590" s="182"/>
      <c r="X590" s="182"/>
      <c r="Y590" s="182"/>
    </row>
    <row r="591" spans="1:25" ht="15.75" hidden="1" customHeight="1" x14ac:dyDescent="0.2">
      <c r="A591" s="182"/>
      <c r="B591" s="175"/>
      <c r="C591" s="176"/>
      <c r="D591" s="176"/>
      <c r="E591" s="176"/>
      <c r="F591" s="123"/>
      <c r="G591" s="123"/>
      <c r="H591" s="123"/>
      <c r="I591" s="123"/>
      <c r="J591" s="174"/>
      <c r="K591" s="182"/>
      <c r="L591" s="182"/>
      <c r="M591" s="182"/>
      <c r="N591" s="182"/>
      <c r="O591" s="182"/>
      <c r="P591" s="182"/>
      <c r="Q591" s="182"/>
      <c r="R591" s="182"/>
      <c r="S591" s="182"/>
      <c r="T591" s="182"/>
      <c r="U591" s="182"/>
      <c r="V591" s="182"/>
      <c r="W591" s="182"/>
      <c r="X591" s="182"/>
      <c r="Y591" s="182"/>
    </row>
    <row r="592" spans="1:25" ht="15.75" hidden="1" customHeight="1" x14ac:dyDescent="0.2">
      <c r="A592" s="182"/>
      <c r="B592" s="175"/>
      <c r="C592" s="176"/>
      <c r="D592" s="176"/>
      <c r="E592" s="176"/>
      <c r="F592" s="123"/>
      <c r="G592" s="123"/>
      <c r="H592" s="123"/>
      <c r="I592" s="123"/>
      <c r="J592" s="174"/>
      <c r="K592" s="182"/>
      <c r="L592" s="182"/>
      <c r="M592" s="182"/>
      <c r="N592" s="182"/>
      <c r="O592" s="182"/>
      <c r="P592" s="182"/>
      <c r="Q592" s="182"/>
      <c r="R592" s="182"/>
      <c r="S592" s="182"/>
      <c r="T592" s="182"/>
      <c r="U592" s="182"/>
      <c r="V592" s="182"/>
      <c r="W592" s="182"/>
      <c r="X592" s="182"/>
      <c r="Y592" s="182"/>
    </row>
    <row r="593" spans="1:25" ht="15.75" hidden="1" customHeight="1" x14ac:dyDescent="0.2">
      <c r="A593" s="182"/>
      <c r="B593" s="175"/>
      <c r="C593" s="176"/>
      <c r="D593" s="176"/>
      <c r="E593" s="176"/>
      <c r="F593" s="123"/>
      <c r="G593" s="123"/>
      <c r="H593" s="123"/>
      <c r="I593" s="123"/>
      <c r="J593" s="174"/>
      <c r="K593" s="182"/>
      <c r="L593" s="182"/>
      <c r="M593" s="182"/>
      <c r="N593" s="182"/>
      <c r="O593" s="182"/>
      <c r="P593" s="182"/>
      <c r="Q593" s="182"/>
      <c r="R593" s="182"/>
      <c r="S593" s="182"/>
      <c r="T593" s="182"/>
      <c r="U593" s="182"/>
      <c r="V593" s="182"/>
      <c r="W593" s="182"/>
      <c r="X593" s="182"/>
      <c r="Y593" s="182"/>
    </row>
    <row r="594" spans="1:25" ht="15.75" hidden="1" customHeight="1" x14ac:dyDescent="0.2">
      <c r="A594" s="182"/>
      <c r="B594" s="175"/>
      <c r="C594" s="176"/>
      <c r="D594" s="176"/>
      <c r="E594" s="176"/>
      <c r="F594" s="123"/>
      <c r="G594" s="123"/>
      <c r="H594" s="123"/>
      <c r="I594" s="123"/>
      <c r="J594" s="174"/>
      <c r="K594" s="182"/>
      <c r="L594" s="182"/>
      <c r="M594" s="182"/>
      <c r="N594" s="182"/>
      <c r="O594" s="182"/>
      <c r="P594" s="182"/>
      <c r="Q594" s="182"/>
      <c r="R594" s="182"/>
      <c r="S594" s="182"/>
      <c r="T594" s="182"/>
      <c r="U594" s="182"/>
      <c r="V594" s="182"/>
      <c r="W594" s="182"/>
      <c r="X594" s="182"/>
      <c r="Y594" s="182"/>
    </row>
    <row r="595" spans="1:25" ht="15.75" hidden="1" customHeight="1" x14ac:dyDescent="0.2">
      <c r="A595" s="182"/>
      <c r="B595" s="175"/>
      <c r="C595" s="176"/>
      <c r="D595" s="176"/>
      <c r="E595" s="176"/>
      <c r="F595" s="123"/>
      <c r="G595" s="123"/>
      <c r="H595" s="123"/>
      <c r="I595" s="123"/>
      <c r="J595" s="174"/>
      <c r="K595" s="182"/>
      <c r="L595" s="182"/>
      <c r="M595" s="182"/>
      <c r="N595" s="182"/>
      <c r="O595" s="182"/>
      <c r="P595" s="182"/>
      <c r="Q595" s="182"/>
      <c r="R595" s="182"/>
      <c r="S595" s="182"/>
      <c r="T595" s="182"/>
      <c r="U595" s="182"/>
      <c r="V595" s="182"/>
      <c r="W595" s="182"/>
      <c r="X595" s="182"/>
      <c r="Y595" s="182"/>
    </row>
    <row r="596" spans="1:25" ht="15.75" hidden="1" customHeight="1" x14ac:dyDescent="0.2">
      <c r="A596" s="182"/>
      <c r="B596" s="175"/>
      <c r="C596" s="176"/>
      <c r="D596" s="176"/>
      <c r="E596" s="176"/>
      <c r="F596" s="123"/>
      <c r="G596" s="123"/>
      <c r="H596" s="123"/>
      <c r="I596" s="123"/>
      <c r="J596" s="174"/>
      <c r="K596" s="182"/>
      <c r="L596" s="182"/>
      <c r="M596" s="182"/>
      <c r="N596" s="182"/>
      <c r="O596" s="182"/>
      <c r="P596" s="182"/>
      <c r="Q596" s="182"/>
      <c r="R596" s="182"/>
      <c r="S596" s="182"/>
      <c r="T596" s="182"/>
      <c r="U596" s="182"/>
      <c r="V596" s="182"/>
      <c r="W596" s="182"/>
      <c r="X596" s="182"/>
      <c r="Y596" s="182"/>
    </row>
    <row r="597" spans="1:25" ht="15.75" hidden="1" customHeight="1" x14ac:dyDescent="0.2">
      <c r="A597" s="182"/>
      <c r="B597" s="175"/>
      <c r="C597" s="176"/>
      <c r="D597" s="176"/>
      <c r="E597" s="176"/>
      <c r="F597" s="123"/>
      <c r="G597" s="123"/>
      <c r="H597" s="123"/>
      <c r="I597" s="123"/>
      <c r="J597" s="174"/>
      <c r="K597" s="182"/>
      <c r="L597" s="182"/>
      <c r="M597" s="182"/>
      <c r="N597" s="182"/>
      <c r="O597" s="182"/>
      <c r="P597" s="182"/>
      <c r="Q597" s="182"/>
      <c r="R597" s="182"/>
      <c r="S597" s="182"/>
      <c r="T597" s="182"/>
      <c r="U597" s="182"/>
      <c r="V597" s="182"/>
      <c r="W597" s="182"/>
      <c r="X597" s="182"/>
      <c r="Y597" s="182"/>
    </row>
    <row r="598" spans="1:25" ht="15.75" hidden="1" customHeight="1" x14ac:dyDescent="0.2">
      <c r="A598" s="182"/>
      <c r="B598" s="175"/>
      <c r="C598" s="176"/>
      <c r="D598" s="176"/>
      <c r="E598" s="176"/>
      <c r="F598" s="123"/>
      <c r="G598" s="123"/>
      <c r="H598" s="123"/>
      <c r="I598" s="123"/>
      <c r="J598" s="174"/>
      <c r="K598" s="182"/>
      <c r="L598" s="182"/>
      <c r="M598" s="182"/>
      <c r="N598" s="182"/>
      <c r="O598" s="182"/>
      <c r="P598" s="182"/>
      <c r="Q598" s="182"/>
      <c r="R598" s="182"/>
      <c r="S598" s="182"/>
      <c r="T598" s="182"/>
      <c r="U598" s="182"/>
      <c r="V598" s="182"/>
      <c r="W598" s="182"/>
      <c r="X598" s="182"/>
      <c r="Y598" s="182"/>
    </row>
    <row r="599" spans="1:25" ht="15.75" hidden="1" customHeight="1" x14ac:dyDescent="0.2">
      <c r="A599" s="182"/>
      <c r="B599" s="175"/>
      <c r="C599" s="176"/>
      <c r="D599" s="176"/>
      <c r="E599" s="176"/>
      <c r="F599" s="123"/>
      <c r="G599" s="123"/>
      <c r="H599" s="123"/>
      <c r="I599" s="123"/>
      <c r="J599" s="174"/>
      <c r="K599" s="182"/>
      <c r="L599" s="182"/>
      <c r="M599" s="182"/>
      <c r="N599" s="182"/>
      <c r="O599" s="182"/>
      <c r="P599" s="182"/>
      <c r="Q599" s="182"/>
      <c r="R599" s="182"/>
      <c r="S599" s="182"/>
      <c r="T599" s="182"/>
      <c r="U599" s="182"/>
      <c r="V599" s="182"/>
      <c r="W599" s="182"/>
      <c r="X599" s="182"/>
      <c r="Y599" s="182"/>
    </row>
    <row r="600" spans="1:25" ht="15.75" hidden="1" customHeight="1" x14ac:dyDescent="0.2">
      <c r="A600" s="182"/>
      <c r="B600" s="175"/>
      <c r="C600" s="176"/>
      <c r="D600" s="176"/>
      <c r="E600" s="176"/>
      <c r="F600" s="123"/>
      <c r="G600" s="123"/>
      <c r="H600" s="123"/>
      <c r="I600" s="123"/>
      <c r="J600" s="174"/>
      <c r="K600" s="182"/>
      <c r="L600" s="182"/>
      <c r="M600" s="182"/>
      <c r="N600" s="182"/>
      <c r="O600" s="182"/>
      <c r="P600" s="182"/>
      <c r="Q600" s="182"/>
      <c r="R600" s="182"/>
      <c r="S600" s="182"/>
      <c r="T600" s="182"/>
      <c r="U600" s="182"/>
      <c r="V600" s="182"/>
      <c r="W600" s="182"/>
      <c r="X600" s="182"/>
      <c r="Y600" s="182"/>
    </row>
    <row r="601" spans="1:25" ht="15.75" hidden="1" customHeight="1" x14ac:dyDescent="0.2">
      <c r="A601" s="182"/>
      <c r="B601" s="175"/>
      <c r="C601" s="176"/>
      <c r="D601" s="176"/>
      <c r="E601" s="176"/>
      <c r="F601" s="123"/>
      <c r="G601" s="123"/>
      <c r="H601" s="123"/>
      <c r="I601" s="123"/>
      <c r="J601" s="174"/>
      <c r="K601" s="182"/>
      <c r="L601" s="182"/>
      <c r="M601" s="182"/>
      <c r="N601" s="182"/>
      <c r="O601" s="182"/>
      <c r="P601" s="182"/>
      <c r="Q601" s="182"/>
      <c r="R601" s="182"/>
      <c r="S601" s="182"/>
      <c r="T601" s="182"/>
      <c r="U601" s="182"/>
      <c r="V601" s="182"/>
      <c r="W601" s="182"/>
      <c r="X601" s="182"/>
      <c r="Y601" s="182"/>
    </row>
    <row r="602" spans="1:25" ht="15.75" hidden="1" customHeight="1" x14ac:dyDescent="0.2">
      <c r="A602" s="182"/>
      <c r="B602" s="175"/>
      <c r="C602" s="176"/>
      <c r="D602" s="176"/>
      <c r="E602" s="176"/>
      <c r="F602" s="123"/>
      <c r="G602" s="123"/>
      <c r="H602" s="123"/>
      <c r="I602" s="123"/>
      <c r="J602" s="174"/>
      <c r="K602" s="182"/>
      <c r="L602" s="182"/>
      <c r="M602" s="182"/>
      <c r="N602" s="182"/>
      <c r="O602" s="182"/>
      <c r="P602" s="182"/>
      <c r="Q602" s="182"/>
      <c r="R602" s="182"/>
      <c r="S602" s="182"/>
      <c r="T602" s="182"/>
      <c r="U602" s="182"/>
      <c r="V602" s="182"/>
      <c r="W602" s="182"/>
      <c r="X602" s="182"/>
      <c r="Y602" s="182"/>
    </row>
    <row r="603" spans="1:25" ht="15.75" hidden="1" customHeight="1" x14ac:dyDescent="0.2">
      <c r="A603" s="182"/>
      <c r="B603" s="175"/>
      <c r="C603" s="176"/>
      <c r="D603" s="176"/>
      <c r="E603" s="176"/>
      <c r="F603" s="123"/>
      <c r="G603" s="123"/>
      <c r="H603" s="123"/>
      <c r="I603" s="123"/>
      <c r="J603" s="174"/>
      <c r="K603" s="182"/>
      <c r="L603" s="182"/>
      <c r="M603" s="182"/>
      <c r="N603" s="182"/>
      <c r="O603" s="182"/>
      <c r="P603" s="182"/>
      <c r="Q603" s="182"/>
      <c r="R603" s="182"/>
      <c r="S603" s="182"/>
      <c r="T603" s="182"/>
      <c r="U603" s="182"/>
      <c r="V603" s="182"/>
      <c r="W603" s="182"/>
      <c r="X603" s="182"/>
      <c r="Y603" s="182"/>
    </row>
    <row r="604" spans="1:25" ht="15.75" hidden="1" customHeight="1" x14ac:dyDescent="0.2">
      <c r="A604" s="182"/>
      <c r="B604" s="175"/>
      <c r="C604" s="176"/>
      <c r="D604" s="176"/>
      <c r="E604" s="176"/>
      <c r="F604" s="123"/>
      <c r="G604" s="123"/>
      <c r="H604" s="123"/>
      <c r="I604" s="123"/>
      <c r="J604" s="174"/>
      <c r="K604" s="182"/>
      <c r="L604" s="182"/>
      <c r="M604" s="182"/>
      <c r="N604" s="182"/>
      <c r="O604" s="182"/>
      <c r="P604" s="182"/>
      <c r="Q604" s="182"/>
      <c r="R604" s="182"/>
      <c r="S604" s="182"/>
      <c r="T604" s="182"/>
      <c r="U604" s="182"/>
      <c r="V604" s="182"/>
      <c r="W604" s="182"/>
      <c r="X604" s="182"/>
      <c r="Y604" s="182"/>
    </row>
    <row r="605" spans="1:25" ht="15.75" hidden="1" customHeight="1" x14ac:dyDescent="0.2">
      <c r="A605" s="182"/>
      <c r="B605" s="175"/>
      <c r="C605" s="176"/>
      <c r="D605" s="176"/>
      <c r="E605" s="176"/>
      <c r="F605" s="123"/>
      <c r="G605" s="123"/>
      <c r="H605" s="123"/>
      <c r="I605" s="123"/>
      <c r="J605" s="174"/>
      <c r="K605" s="182"/>
      <c r="L605" s="182"/>
      <c r="M605" s="182"/>
      <c r="N605" s="182"/>
      <c r="O605" s="182"/>
      <c r="P605" s="182"/>
      <c r="Q605" s="182"/>
      <c r="R605" s="182"/>
      <c r="S605" s="182"/>
      <c r="T605" s="182"/>
      <c r="U605" s="182"/>
      <c r="V605" s="182"/>
      <c r="W605" s="182"/>
      <c r="X605" s="182"/>
      <c r="Y605" s="182"/>
    </row>
    <row r="606" spans="1:25" ht="15.75" hidden="1" customHeight="1" x14ac:dyDescent="0.2">
      <c r="A606" s="182"/>
      <c r="B606" s="175"/>
      <c r="C606" s="176"/>
      <c r="D606" s="176"/>
      <c r="E606" s="176"/>
      <c r="F606" s="123"/>
      <c r="G606" s="123"/>
      <c r="H606" s="123"/>
      <c r="I606" s="123"/>
      <c r="J606" s="174"/>
      <c r="K606" s="182"/>
      <c r="L606" s="182"/>
      <c r="M606" s="182"/>
      <c r="N606" s="182"/>
      <c r="O606" s="182"/>
      <c r="P606" s="182"/>
      <c r="Q606" s="182"/>
      <c r="R606" s="182"/>
      <c r="S606" s="182"/>
      <c r="T606" s="182"/>
      <c r="U606" s="182"/>
      <c r="V606" s="182"/>
      <c r="W606" s="182"/>
      <c r="X606" s="182"/>
      <c r="Y606" s="182"/>
    </row>
    <row r="607" spans="1:25" ht="15.75" hidden="1" customHeight="1" x14ac:dyDescent="0.2">
      <c r="A607" s="182"/>
      <c r="B607" s="175"/>
      <c r="C607" s="176"/>
      <c r="D607" s="176"/>
      <c r="E607" s="176"/>
      <c r="F607" s="123"/>
      <c r="G607" s="123"/>
      <c r="H607" s="123"/>
      <c r="I607" s="123"/>
      <c r="J607" s="174"/>
      <c r="K607" s="182"/>
      <c r="L607" s="182"/>
      <c r="M607" s="182"/>
      <c r="N607" s="182"/>
      <c r="O607" s="182"/>
      <c r="P607" s="182"/>
      <c r="Q607" s="182"/>
      <c r="R607" s="182"/>
      <c r="S607" s="182"/>
      <c r="T607" s="182"/>
      <c r="U607" s="182"/>
      <c r="V607" s="182"/>
      <c r="W607" s="182"/>
      <c r="X607" s="182"/>
      <c r="Y607" s="182"/>
    </row>
    <row r="608" spans="1:25" ht="15.75" hidden="1" customHeight="1" x14ac:dyDescent="0.2">
      <c r="A608" s="182"/>
      <c r="B608" s="175"/>
      <c r="C608" s="176"/>
      <c r="D608" s="176"/>
      <c r="E608" s="176"/>
      <c r="F608" s="123"/>
      <c r="G608" s="123"/>
      <c r="H608" s="123"/>
      <c r="I608" s="123"/>
      <c r="J608" s="174"/>
      <c r="K608" s="182"/>
      <c r="L608" s="182"/>
      <c r="M608" s="182"/>
      <c r="N608" s="182"/>
      <c r="O608" s="182"/>
      <c r="P608" s="182"/>
      <c r="Q608" s="182"/>
      <c r="R608" s="182"/>
      <c r="S608" s="182"/>
      <c r="T608" s="182"/>
      <c r="U608" s="182"/>
      <c r="V608" s="182"/>
      <c r="W608" s="182"/>
      <c r="X608" s="182"/>
      <c r="Y608" s="182"/>
    </row>
    <row r="609" spans="1:25" ht="15.75" hidden="1" customHeight="1" x14ac:dyDescent="0.2">
      <c r="A609" s="182"/>
      <c r="B609" s="175"/>
      <c r="C609" s="176"/>
      <c r="D609" s="176"/>
      <c r="E609" s="176"/>
      <c r="F609" s="123"/>
      <c r="G609" s="123"/>
      <c r="H609" s="123"/>
      <c r="I609" s="123"/>
      <c r="J609" s="174"/>
      <c r="K609" s="182"/>
      <c r="L609" s="182"/>
      <c r="M609" s="182"/>
      <c r="N609" s="182"/>
      <c r="O609" s="182"/>
      <c r="P609" s="182"/>
      <c r="Q609" s="182"/>
      <c r="R609" s="182"/>
      <c r="S609" s="182"/>
      <c r="T609" s="182"/>
      <c r="U609" s="182"/>
      <c r="V609" s="182"/>
      <c r="W609" s="182"/>
      <c r="X609" s="182"/>
      <c r="Y609" s="182"/>
    </row>
    <row r="610" spans="1:25" ht="15.75" hidden="1" customHeight="1" x14ac:dyDescent="0.2">
      <c r="A610" s="182"/>
      <c r="B610" s="175"/>
      <c r="C610" s="176"/>
      <c r="D610" s="176"/>
      <c r="E610" s="176"/>
      <c r="F610" s="123"/>
      <c r="G610" s="123"/>
      <c r="H610" s="123"/>
      <c r="I610" s="123"/>
      <c r="J610" s="174"/>
      <c r="K610" s="182"/>
      <c r="L610" s="182"/>
      <c r="M610" s="182"/>
      <c r="N610" s="182"/>
      <c r="O610" s="182"/>
      <c r="P610" s="182"/>
      <c r="Q610" s="182"/>
      <c r="R610" s="182"/>
      <c r="S610" s="182"/>
      <c r="T610" s="182"/>
      <c r="U610" s="182"/>
      <c r="V610" s="182"/>
      <c r="W610" s="182"/>
      <c r="X610" s="182"/>
      <c r="Y610" s="182"/>
    </row>
    <row r="611" spans="1:25" ht="15.75" hidden="1" customHeight="1" x14ac:dyDescent="0.2">
      <c r="A611" s="182"/>
      <c r="B611" s="175"/>
      <c r="C611" s="176"/>
      <c r="D611" s="176"/>
      <c r="E611" s="176"/>
      <c r="F611" s="123"/>
      <c r="G611" s="123"/>
      <c r="H611" s="123"/>
      <c r="I611" s="123"/>
      <c r="J611" s="174"/>
      <c r="K611" s="182"/>
      <c r="L611" s="182"/>
      <c r="M611" s="182"/>
      <c r="N611" s="182"/>
      <c r="O611" s="182"/>
      <c r="P611" s="182"/>
      <c r="Q611" s="182"/>
      <c r="R611" s="182"/>
      <c r="S611" s="182"/>
      <c r="T611" s="182"/>
      <c r="U611" s="182"/>
      <c r="V611" s="182"/>
      <c r="W611" s="182"/>
      <c r="X611" s="182"/>
      <c r="Y611" s="182"/>
    </row>
    <row r="612" spans="1:25" ht="15.75" hidden="1" customHeight="1" x14ac:dyDescent="0.2">
      <c r="A612" s="182"/>
      <c r="B612" s="175"/>
      <c r="C612" s="176"/>
      <c r="D612" s="176"/>
      <c r="E612" s="176"/>
      <c r="F612" s="123"/>
      <c r="G612" s="123"/>
      <c r="H612" s="123"/>
      <c r="I612" s="123"/>
      <c r="J612" s="174"/>
      <c r="K612" s="182"/>
      <c r="L612" s="182"/>
      <c r="M612" s="182"/>
      <c r="N612" s="182"/>
      <c r="O612" s="182"/>
      <c r="P612" s="182"/>
      <c r="Q612" s="182"/>
      <c r="R612" s="182"/>
      <c r="S612" s="182"/>
      <c r="T612" s="182"/>
      <c r="U612" s="182"/>
      <c r="V612" s="182"/>
      <c r="W612" s="182"/>
      <c r="X612" s="182"/>
      <c r="Y612" s="182"/>
    </row>
    <row r="613" spans="1:25" ht="15.75" hidden="1" customHeight="1" x14ac:dyDescent="0.2">
      <c r="A613" s="182"/>
      <c r="B613" s="175"/>
      <c r="C613" s="176"/>
      <c r="D613" s="176"/>
      <c r="E613" s="176"/>
      <c r="F613" s="123"/>
      <c r="G613" s="123"/>
      <c r="H613" s="123"/>
      <c r="I613" s="123"/>
      <c r="J613" s="174"/>
      <c r="K613" s="182"/>
      <c r="L613" s="182"/>
      <c r="M613" s="182"/>
      <c r="N613" s="182"/>
      <c r="O613" s="182"/>
      <c r="P613" s="182"/>
      <c r="Q613" s="182"/>
      <c r="R613" s="182"/>
      <c r="S613" s="182"/>
      <c r="T613" s="182"/>
      <c r="U613" s="182"/>
      <c r="V613" s="182"/>
      <c r="W613" s="182"/>
      <c r="X613" s="182"/>
      <c r="Y613" s="182"/>
    </row>
    <row r="614" spans="1:25" ht="15.75" hidden="1" customHeight="1" x14ac:dyDescent="0.2">
      <c r="A614" s="182"/>
      <c r="B614" s="175"/>
      <c r="C614" s="176"/>
      <c r="D614" s="176"/>
      <c r="E614" s="176"/>
      <c r="F614" s="123"/>
      <c r="G614" s="123"/>
      <c r="H614" s="123"/>
      <c r="I614" s="123"/>
      <c r="J614" s="174"/>
      <c r="K614" s="182"/>
      <c r="L614" s="182"/>
      <c r="M614" s="182"/>
      <c r="N614" s="182"/>
      <c r="O614" s="182"/>
      <c r="P614" s="182"/>
      <c r="Q614" s="182"/>
      <c r="R614" s="182"/>
      <c r="S614" s="182"/>
      <c r="T614" s="182"/>
      <c r="U614" s="182"/>
      <c r="V614" s="182"/>
      <c r="W614" s="182"/>
      <c r="X614" s="182"/>
      <c r="Y614" s="182"/>
    </row>
    <row r="615" spans="1:25" ht="15.75" hidden="1" customHeight="1" x14ac:dyDescent="0.2">
      <c r="A615" s="182"/>
      <c r="B615" s="175"/>
      <c r="C615" s="176"/>
      <c r="D615" s="176"/>
      <c r="E615" s="176"/>
      <c r="F615" s="123"/>
      <c r="G615" s="123"/>
      <c r="H615" s="123"/>
      <c r="I615" s="123"/>
      <c r="J615" s="174"/>
      <c r="K615" s="182"/>
      <c r="L615" s="182"/>
      <c r="M615" s="182"/>
      <c r="N615" s="182"/>
      <c r="O615" s="182"/>
      <c r="P615" s="182"/>
      <c r="Q615" s="182"/>
      <c r="R615" s="182"/>
      <c r="S615" s="182"/>
      <c r="T615" s="182"/>
      <c r="U615" s="182"/>
      <c r="V615" s="182"/>
      <c r="W615" s="182"/>
      <c r="X615" s="182"/>
      <c r="Y615" s="182"/>
    </row>
    <row r="616" spans="1:25" ht="15.75" hidden="1" customHeight="1" x14ac:dyDescent="0.2">
      <c r="A616" s="182"/>
      <c r="B616" s="175"/>
      <c r="C616" s="176"/>
      <c r="D616" s="176"/>
      <c r="E616" s="176"/>
      <c r="F616" s="123"/>
      <c r="G616" s="123"/>
      <c r="H616" s="123"/>
      <c r="I616" s="123"/>
      <c r="J616" s="174"/>
      <c r="K616" s="182"/>
      <c r="L616" s="182"/>
      <c r="M616" s="182"/>
      <c r="N616" s="182"/>
      <c r="O616" s="182"/>
      <c r="P616" s="182"/>
      <c r="Q616" s="182"/>
      <c r="R616" s="182"/>
      <c r="S616" s="182"/>
      <c r="T616" s="182"/>
      <c r="U616" s="182"/>
      <c r="V616" s="182"/>
      <c r="W616" s="182"/>
      <c r="X616" s="182"/>
      <c r="Y616" s="182"/>
    </row>
    <row r="617" spans="1:25" ht="15.75" hidden="1" customHeight="1" x14ac:dyDescent="0.2">
      <c r="A617" s="182"/>
      <c r="B617" s="175"/>
      <c r="C617" s="176"/>
      <c r="D617" s="176"/>
      <c r="E617" s="176"/>
      <c r="F617" s="123"/>
      <c r="G617" s="123"/>
      <c r="H617" s="123"/>
      <c r="I617" s="123"/>
      <c r="J617" s="174"/>
      <c r="K617" s="182"/>
      <c r="L617" s="182"/>
      <c r="M617" s="182"/>
      <c r="N617" s="182"/>
      <c r="O617" s="182"/>
      <c r="P617" s="182"/>
      <c r="Q617" s="182"/>
      <c r="R617" s="182"/>
      <c r="S617" s="182"/>
      <c r="T617" s="182"/>
      <c r="U617" s="182"/>
      <c r="V617" s="182"/>
      <c r="W617" s="182"/>
      <c r="X617" s="182"/>
      <c r="Y617" s="182"/>
    </row>
    <row r="618" spans="1:25" ht="15.75" hidden="1" customHeight="1" x14ac:dyDescent="0.2">
      <c r="A618" s="182"/>
      <c r="B618" s="175"/>
      <c r="C618" s="176"/>
      <c r="D618" s="176"/>
      <c r="E618" s="176"/>
      <c r="F618" s="123"/>
      <c r="G618" s="123"/>
      <c r="H618" s="123"/>
      <c r="I618" s="123"/>
      <c r="J618" s="174"/>
      <c r="K618" s="182"/>
      <c r="L618" s="182"/>
      <c r="M618" s="182"/>
      <c r="N618" s="182"/>
      <c r="O618" s="182"/>
      <c r="P618" s="182"/>
      <c r="Q618" s="182"/>
      <c r="R618" s="182"/>
      <c r="S618" s="182"/>
      <c r="T618" s="182"/>
      <c r="U618" s="182"/>
      <c r="V618" s="182"/>
      <c r="W618" s="182"/>
      <c r="X618" s="182"/>
      <c r="Y618" s="182"/>
    </row>
    <row r="619" spans="1:25" ht="15.75" hidden="1" customHeight="1" x14ac:dyDescent="0.2">
      <c r="A619" s="182"/>
      <c r="B619" s="175"/>
      <c r="C619" s="176"/>
      <c r="D619" s="176"/>
      <c r="E619" s="176"/>
      <c r="F619" s="123"/>
      <c r="G619" s="123"/>
      <c r="H619" s="123"/>
      <c r="I619" s="123"/>
      <c r="J619" s="174"/>
      <c r="K619" s="182"/>
      <c r="L619" s="182"/>
      <c r="M619" s="182"/>
      <c r="N619" s="182"/>
      <c r="O619" s="182"/>
      <c r="P619" s="182"/>
      <c r="Q619" s="182"/>
      <c r="R619" s="182"/>
      <c r="S619" s="182"/>
      <c r="T619" s="182"/>
      <c r="U619" s="182"/>
      <c r="V619" s="182"/>
      <c r="W619" s="182"/>
      <c r="X619" s="182"/>
      <c r="Y619" s="182"/>
    </row>
    <row r="620" spans="1:25" ht="15.75" hidden="1" customHeight="1" x14ac:dyDescent="0.2">
      <c r="A620" s="182"/>
      <c r="B620" s="175"/>
      <c r="C620" s="176"/>
      <c r="D620" s="176"/>
      <c r="E620" s="176"/>
      <c r="F620" s="123"/>
      <c r="G620" s="123"/>
      <c r="H620" s="123"/>
      <c r="I620" s="123"/>
      <c r="J620" s="174"/>
      <c r="K620" s="182"/>
      <c r="L620" s="182"/>
      <c r="M620" s="182"/>
      <c r="N620" s="182"/>
      <c r="O620" s="182"/>
      <c r="P620" s="182"/>
      <c r="Q620" s="182"/>
      <c r="R620" s="182"/>
      <c r="S620" s="182"/>
      <c r="T620" s="182"/>
      <c r="U620" s="182"/>
      <c r="V620" s="182"/>
      <c r="W620" s="182"/>
      <c r="X620" s="182"/>
      <c r="Y620" s="182"/>
    </row>
    <row r="621" spans="1:25" ht="15.75" hidden="1" customHeight="1" x14ac:dyDescent="0.2">
      <c r="A621" s="182"/>
      <c r="B621" s="175"/>
      <c r="C621" s="176"/>
      <c r="D621" s="176"/>
      <c r="E621" s="176"/>
      <c r="F621" s="123"/>
      <c r="G621" s="123"/>
      <c r="H621" s="123"/>
      <c r="I621" s="123"/>
      <c r="J621" s="174"/>
      <c r="K621" s="182"/>
      <c r="L621" s="182"/>
      <c r="M621" s="182"/>
      <c r="N621" s="182"/>
      <c r="O621" s="182"/>
      <c r="P621" s="182"/>
      <c r="Q621" s="182"/>
      <c r="R621" s="182"/>
      <c r="S621" s="182"/>
      <c r="T621" s="182"/>
      <c r="U621" s="182"/>
      <c r="V621" s="182"/>
      <c r="W621" s="182"/>
      <c r="X621" s="182"/>
      <c r="Y621" s="182"/>
    </row>
    <row r="622" spans="1:25" ht="15.75" hidden="1" customHeight="1" x14ac:dyDescent="0.2">
      <c r="A622" s="182"/>
      <c r="B622" s="175"/>
      <c r="C622" s="176"/>
      <c r="D622" s="176"/>
      <c r="E622" s="176"/>
      <c r="F622" s="123"/>
      <c r="G622" s="123"/>
      <c r="H622" s="123"/>
      <c r="I622" s="123"/>
      <c r="J622" s="174"/>
      <c r="K622" s="182"/>
      <c r="L622" s="182"/>
      <c r="M622" s="182"/>
      <c r="N622" s="182"/>
      <c r="O622" s="182"/>
      <c r="P622" s="182"/>
      <c r="Q622" s="182"/>
      <c r="R622" s="182"/>
      <c r="S622" s="182"/>
      <c r="T622" s="182"/>
      <c r="U622" s="182"/>
      <c r="V622" s="182"/>
      <c r="W622" s="182"/>
      <c r="X622" s="182"/>
      <c r="Y622" s="182"/>
    </row>
    <row r="623" spans="1:25" ht="15.75" hidden="1" customHeight="1" x14ac:dyDescent="0.2">
      <c r="A623" s="182"/>
      <c r="B623" s="175"/>
      <c r="C623" s="176"/>
      <c r="D623" s="176"/>
      <c r="E623" s="176"/>
      <c r="F623" s="123"/>
      <c r="G623" s="123"/>
      <c r="H623" s="123"/>
      <c r="I623" s="123"/>
      <c r="J623" s="174"/>
      <c r="K623" s="182"/>
      <c r="L623" s="182"/>
      <c r="M623" s="182"/>
      <c r="N623" s="182"/>
      <c r="O623" s="182"/>
      <c r="P623" s="182"/>
      <c r="Q623" s="182"/>
      <c r="R623" s="182"/>
      <c r="S623" s="182"/>
      <c r="T623" s="182"/>
      <c r="U623" s="182"/>
      <c r="V623" s="182"/>
      <c r="W623" s="182"/>
      <c r="X623" s="182"/>
      <c r="Y623" s="182"/>
    </row>
    <row r="624" spans="1:25" ht="15.75" hidden="1" customHeight="1" x14ac:dyDescent="0.2">
      <c r="A624" s="182"/>
      <c r="B624" s="175"/>
      <c r="C624" s="176"/>
      <c r="D624" s="176"/>
      <c r="E624" s="176"/>
      <c r="F624" s="123"/>
      <c r="G624" s="123"/>
      <c r="H624" s="123"/>
      <c r="I624" s="123"/>
      <c r="J624" s="174"/>
      <c r="K624" s="182"/>
      <c r="L624" s="182"/>
      <c r="M624" s="182"/>
      <c r="N624" s="182"/>
      <c r="O624" s="182"/>
      <c r="P624" s="182"/>
      <c r="Q624" s="182"/>
      <c r="R624" s="182"/>
      <c r="S624" s="182"/>
      <c r="T624" s="182"/>
      <c r="U624" s="182"/>
      <c r="V624" s="182"/>
      <c r="W624" s="182"/>
      <c r="X624" s="182"/>
      <c r="Y624" s="182"/>
    </row>
    <row r="625" spans="1:25" ht="15.75" hidden="1" customHeight="1" x14ac:dyDescent="0.2">
      <c r="A625" s="182"/>
      <c r="B625" s="175"/>
      <c r="C625" s="176"/>
      <c r="D625" s="176"/>
      <c r="E625" s="176"/>
      <c r="F625" s="123"/>
      <c r="G625" s="123"/>
      <c r="H625" s="123"/>
      <c r="I625" s="123"/>
      <c r="J625" s="174"/>
      <c r="K625" s="182"/>
      <c r="L625" s="182"/>
      <c r="M625" s="182"/>
      <c r="N625" s="182"/>
      <c r="O625" s="182"/>
      <c r="P625" s="182"/>
      <c r="Q625" s="182"/>
      <c r="R625" s="182"/>
      <c r="S625" s="182"/>
      <c r="T625" s="182"/>
      <c r="U625" s="182"/>
      <c r="V625" s="182"/>
      <c r="W625" s="182"/>
      <c r="X625" s="182"/>
      <c r="Y625" s="182"/>
    </row>
    <row r="626" spans="1:25" ht="15.75" hidden="1" customHeight="1" x14ac:dyDescent="0.2">
      <c r="A626" s="182"/>
      <c r="B626" s="175"/>
      <c r="C626" s="176"/>
      <c r="D626" s="176"/>
      <c r="E626" s="176"/>
      <c r="F626" s="123"/>
      <c r="G626" s="123"/>
      <c r="H626" s="123"/>
      <c r="I626" s="123"/>
      <c r="J626" s="174"/>
      <c r="K626" s="182"/>
      <c r="L626" s="182"/>
      <c r="M626" s="182"/>
      <c r="N626" s="182"/>
      <c r="O626" s="182"/>
      <c r="P626" s="182"/>
      <c r="Q626" s="182"/>
      <c r="R626" s="182"/>
      <c r="S626" s="182"/>
      <c r="T626" s="182"/>
      <c r="U626" s="182"/>
      <c r="V626" s="182"/>
      <c r="W626" s="182"/>
      <c r="X626" s="182"/>
      <c r="Y626" s="182"/>
    </row>
    <row r="627" spans="1:25" ht="15.75" hidden="1" customHeight="1" x14ac:dyDescent="0.2">
      <c r="A627" s="182"/>
      <c r="B627" s="175"/>
      <c r="C627" s="176"/>
      <c r="D627" s="176"/>
      <c r="E627" s="176"/>
      <c r="F627" s="123"/>
      <c r="G627" s="123"/>
      <c r="H627" s="123"/>
      <c r="I627" s="123"/>
      <c r="J627" s="174"/>
      <c r="K627" s="182"/>
      <c r="L627" s="182"/>
      <c r="M627" s="182"/>
      <c r="N627" s="182"/>
      <c r="O627" s="182"/>
      <c r="P627" s="182"/>
      <c r="Q627" s="182"/>
      <c r="R627" s="182"/>
      <c r="S627" s="182"/>
      <c r="T627" s="182"/>
      <c r="U627" s="182"/>
      <c r="V627" s="182"/>
      <c r="W627" s="182"/>
      <c r="X627" s="182"/>
      <c r="Y627" s="182"/>
    </row>
    <row r="628" spans="1:25" ht="15.75" hidden="1" customHeight="1" x14ac:dyDescent="0.2">
      <c r="A628" s="182"/>
      <c r="B628" s="175"/>
      <c r="C628" s="176"/>
      <c r="D628" s="176"/>
      <c r="E628" s="176"/>
      <c r="F628" s="123"/>
      <c r="G628" s="123"/>
      <c r="H628" s="123"/>
      <c r="I628" s="123"/>
      <c r="J628" s="174"/>
      <c r="K628" s="182"/>
      <c r="L628" s="182"/>
      <c r="M628" s="182"/>
      <c r="N628" s="182"/>
      <c r="O628" s="182"/>
      <c r="P628" s="182"/>
      <c r="Q628" s="182"/>
      <c r="R628" s="182"/>
      <c r="S628" s="182"/>
      <c r="T628" s="182"/>
      <c r="U628" s="182"/>
      <c r="V628" s="182"/>
      <c r="W628" s="182"/>
      <c r="X628" s="182"/>
      <c r="Y628" s="182"/>
    </row>
    <row r="629" spans="1:25" ht="15.75" hidden="1" customHeight="1" x14ac:dyDescent="0.2">
      <c r="A629" s="182"/>
      <c r="B629" s="175"/>
      <c r="C629" s="176"/>
      <c r="D629" s="176"/>
      <c r="E629" s="176"/>
      <c r="F629" s="123"/>
      <c r="G629" s="123"/>
      <c r="H629" s="123"/>
      <c r="I629" s="123"/>
      <c r="J629" s="174"/>
      <c r="K629" s="182"/>
      <c r="L629" s="182"/>
      <c r="M629" s="182"/>
      <c r="N629" s="182"/>
      <c r="O629" s="182"/>
      <c r="P629" s="182"/>
      <c r="Q629" s="182"/>
      <c r="R629" s="182"/>
      <c r="S629" s="182"/>
      <c r="T629" s="182"/>
      <c r="U629" s="182"/>
      <c r="V629" s="182"/>
      <c r="W629" s="182"/>
      <c r="X629" s="182"/>
      <c r="Y629" s="182"/>
    </row>
    <row r="630" spans="1:25" ht="15.75" hidden="1" customHeight="1" x14ac:dyDescent="0.2">
      <c r="A630" s="182"/>
      <c r="B630" s="175"/>
      <c r="C630" s="176"/>
      <c r="D630" s="176"/>
      <c r="E630" s="176"/>
      <c r="F630" s="123"/>
      <c r="G630" s="123"/>
      <c r="H630" s="123"/>
      <c r="I630" s="123"/>
      <c r="J630" s="174"/>
      <c r="K630" s="182"/>
      <c r="L630" s="182"/>
      <c r="M630" s="182"/>
      <c r="N630" s="182"/>
      <c r="O630" s="182"/>
      <c r="P630" s="182"/>
      <c r="Q630" s="182"/>
      <c r="R630" s="182"/>
      <c r="S630" s="182"/>
      <c r="T630" s="182"/>
      <c r="U630" s="182"/>
      <c r="V630" s="182"/>
      <c r="W630" s="182"/>
      <c r="X630" s="182"/>
      <c r="Y630" s="182"/>
    </row>
    <row r="631" spans="1:25" ht="15.75" hidden="1" customHeight="1" x14ac:dyDescent="0.2">
      <c r="A631" s="182"/>
      <c r="B631" s="175"/>
      <c r="C631" s="176"/>
      <c r="D631" s="176"/>
      <c r="E631" s="176"/>
      <c r="F631" s="123"/>
      <c r="G631" s="123"/>
      <c r="H631" s="123"/>
      <c r="I631" s="123"/>
      <c r="J631" s="174"/>
      <c r="K631" s="182"/>
      <c r="L631" s="182"/>
      <c r="M631" s="182"/>
      <c r="N631" s="182"/>
      <c r="O631" s="182"/>
      <c r="P631" s="182"/>
      <c r="Q631" s="182"/>
      <c r="R631" s="182"/>
      <c r="S631" s="182"/>
      <c r="T631" s="182"/>
      <c r="U631" s="182"/>
      <c r="V631" s="182"/>
      <c r="W631" s="182"/>
      <c r="X631" s="182"/>
      <c r="Y631" s="182"/>
    </row>
    <row r="632" spans="1:25" ht="15.75" hidden="1" customHeight="1" x14ac:dyDescent="0.2">
      <c r="A632" s="182"/>
      <c r="B632" s="175"/>
      <c r="C632" s="176"/>
      <c r="D632" s="176"/>
      <c r="E632" s="176"/>
      <c r="F632" s="123"/>
      <c r="G632" s="123"/>
      <c r="H632" s="123"/>
      <c r="I632" s="123"/>
      <c r="J632" s="174"/>
      <c r="K632" s="182"/>
      <c r="L632" s="182"/>
      <c r="M632" s="182"/>
      <c r="N632" s="182"/>
      <c r="O632" s="182"/>
      <c r="P632" s="182"/>
      <c r="Q632" s="182"/>
      <c r="R632" s="182"/>
      <c r="S632" s="182"/>
      <c r="T632" s="182"/>
      <c r="U632" s="182"/>
      <c r="V632" s="182"/>
      <c r="W632" s="182"/>
      <c r="X632" s="182"/>
      <c r="Y632" s="182"/>
    </row>
    <row r="633" spans="1:25" ht="15.75" hidden="1" customHeight="1" x14ac:dyDescent="0.2">
      <c r="A633" s="182"/>
      <c r="B633" s="175"/>
      <c r="C633" s="176"/>
      <c r="D633" s="176"/>
      <c r="E633" s="176"/>
      <c r="F633" s="123"/>
      <c r="G633" s="123"/>
      <c r="H633" s="123"/>
      <c r="I633" s="123"/>
      <c r="J633" s="174"/>
      <c r="K633" s="182"/>
      <c r="L633" s="182"/>
      <c r="M633" s="182"/>
      <c r="N633" s="182"/>
      <c r="O633" s="182"/>
      <c r="P633" s="182"/>
      <c r="Q633" s="182"/>
      <c r="R633" s="182"/>
      <c r="S633" s="182"/>
      <c r="T633" s="182"/>
      <c r="U633" s="182"/>
      <c r="V633" s="182"/>
      <c r="W633" s="182"/>
      <c r="X633" s="182"/>
      <c r="Y633" s="182"/>
    </row>
    <row r="634" spans="1:25" ht="15.75" hidden="1" customHeight="1" x14ac:dyDescent="0.2">
      <c r="A634" s="182"/>
      <c r="B634" s="175"/>
      <c r="C634" s="176"/>
      <c r="D634" s="176"/>
      <c r="E634" s="176"/>
      <c r="F634" s="123"/>
      <c r="G634" s="123"/>
      <c r="H634" s="123"/>
      <c r="I634" s="123"/>
      <c r="J634" s="174"/>
      <c r="K634" s="182"/>
      <c r="L634" s="182"/>
      <c r="M634" s="182"/>
      <c r="N634" s="182"/>
      <c r="O634" s="182"/>
      <c r="P634" s="182"/>
      <c r="Q634" s="182"/>
      <c r="R634" s="182"/>
      <c r="S634" s="182"/>
      <c r="T634" s="182"/>
      <c r="U634" s="182"/>
      <c r="V634" s="182"/>
      <c r="W634" s="182"/>
      <c r="X634" s="182"/>
      <c r="Y634" s="182"/>
    </row>
    <row r="635" spans="1:25" ht="15.75" hidden="1" customHeight="1" x14ac:dyDescent="0.2">
      <c r="A635" s="182"/>
      <c r="B635" s="175"/>
      <c r="C635" s="176"/>
      <c r="D635" s="176"/>
      <c r="E635" s="176"/>
      <c r="F635" s="123"/>
      <c r="G635" s="123"/>
      <c r="H635" s="123"/>
      <c r="I635" s="123"/>
      <c r="J635" s="174"/>
      <c r="K635" s="182"/>
      <c r="L635" s="182"/>
      <c r="M635" s="182"/>
      <c r="N635" s="182"/>
      <c r="O635" s="182"/>
      <c r="P635" s="182"/>
      <c r="Q635" s="182"/>
      <c r="R635" s="182"/>
      <c r="S635" s="182"/>
      <c r="T635" s="182"/>
      <c r="U635" s="182"/>
      <c r="V635" s="182"/>
      <c r="W635" s="182"/>
      <c r="X635" s="182"/>
      <c r="Y635" s="182"/>
    </row>
    <row r="636" spans="1:25" ht="15.75" hidden="1" customHeight="1" x14ac:dyDescent="0.2">
      <c r="A636" s="182"/>
      <c r="B636" s="175"/>
      <c r="C636" s="176"/>
      <c r="D636" s="176"/>
      <c r="E636" s="176"/>
      <c r="F636" s="123"/>
      <c r="G636" s="123"/>
      <c r="H636" s="123"/>
      <c r="I636" s="123"/>
      <c r="J636" s="174"/>
      <c r="K636" s="182"/>
      <c r="L636" s="182"/>
      <c r="M636" s="182"/>
      <c r="N636" s="182"/>
      <c r="O636" s="182"/>
      <c r="P636" s="182"/>
      <c r="Q636" s="182"/>
      <c r="R636" s="182"/>
      <c r="S636" s="182"/>
      <c r="T636" s="182"/>
      <c r="U636" s="182"/>
      <c r="V636" s="182"/>
      <c r="W636" s="182"/>
      <c r="X636" s="182"/>
      <c r="Y636" s="182"/>
    </row>
    <row r="637" spans="1:25" ht="15.75" hidden="1" customHeight="1" x14ac:dyDescent="0.2">
      <c r="A637" s="182"/>
      <c r="B637" s="175"/>
      <c r="C637" s="176"/>
      <c r="D637" s="176"/>
      <c r="E637" s="176"/>
      <c r="F637" s="123"/>
      <c r="G637" s="123"/>
      <c r="H637" s="123"/>
      <c r="I637" s="123"/>
      <c r="J637" s="174"/>
      <c r="K637" s="182"/>
      <c r="L637" s="182"/>
      <c r="M637" s="182"/>
      <c r="N637" s="182"/>
      <c r="O637" s="182"/>
      <c r="P637" s="182"/>
      <c r="Q637" s="182"/>
      <c r="R637" s="182"/>
      <c r="S637" s="182"/>
      <c r="T637" s="182"/>
      <c r="U637" s="182"/>
      <c r="V637" s="182"/>
      <c r="W637" s="182"/>
      <c r="X637" s="182"/>
      <c r="Y637" s="182"/>
    </row>
    <row r="638" spans="1:25" ht="15.75" hidden="1" customHeight="1" x14ac:dyDescent="0.2">
      <c r="A638" s="182"/>
      <c r="B638" s="175"/>
      <c r="C638" s="176"/>
      <c r="D638" s="176"/>
      <c r="E638" s="176"/>
      <c r="F638" s="123"/>
      <c r="G638" s="123"/>
      <c r="H638" s="123"/>
      <c r="I638" s="123"/>
      <c r="J638" s="174"/>
      <c r="K638" s="182"/>
      <c r="L638" s="182"/>
      <c r="M638" s="182"/>
      <c r="N638" s="182"/>
      <c r="O638" s="182"/>
      <c r="P638" s="182"/>
      <c r="Q638" s="182"/>
      <c r="R638" s="182"/>
      <c r="S638" s="182"/>
      <c r="T638" s="182"/>
      <c r="U638" s="182"/>
      <c r="V638" s="182"/>
      <c r="W638" s="182"/>
      <c r="X638" s="182"/>
      <c r="Y638" s="182"/>
    </row>
    <row r="639" spans="1:25" ht="15.75" hidden="1" customHeight="1" x14ac:dyDescent="0.2">
      <c r="A639" s="182"/>
      <c r="B639" s="175"/>
      <c r="C639" s="176"/>
      <c r="D639" s="176"/>
      <c r="E639" s="176"/>
      <c r="F639" s="123"/>
      <c r="G639" s="123"/>
      <c r="H639" s="123"/>
      <c r="I639" s="123"/>
      <c r="J639" s="174"/>
      <c r="K639" s="182"/>
      <c r="L639" s="182"/>
      <c r="M639" s="182"/>
      <c r="N639" s="182"/>
      <c r="O639" s="182"/>
      <c r="P639" s="182"/>
      <c r="Q639" s="182"/>
      <c r="R639" s="182"/>
      <c r="S639" s="182"/>
      <c r="T639" s="182"/>
      <c r="U639" s="182"/>
      <c r="V639" s="182"/>
      <c r="W639" s="182"/>
      <c r="X639" s="182"/>
      <c r="Y639" s="182"/>
    </row>
    <row r="640" spans="1:25" ht="15.75" hidden="1" customHeight="1" x14ac:dyDescent="0.2">
      <c r="A640" s="182"/>
      <c r="B640" s="175"/>
      <c r="C640" s="176"/>
      <c r="D640" s="176"/>
      <c r="E640" s="176"/>
      <c r="F640" s="123"/>
      <c r="G640" s="123"/>
      <c r="H640" s="123"/>
      <c r="I640" s="123"/>
      <c r="J640" s="174"/>
      <c r="K640" s="182"/>
      <c r="L640" s="182"/>
      <c r="M640" s="182"/>
      <c r="N640" s="182"/>
      <c r="O640" s="182"/>
      <c r="P640" s="182"/>
      <c r="Q640" s="182"/>
      <c r="R640" s="182"/>
      <c r="S640" s="182"/>
      <c r="T640" s="182"/>
      <c r="U640" s="182"/>
      <c r="V640" s="182"/>
      <c r="W640" s="182"/>
      <c r="X640" s="182"/>
      <c r="Y640" s="182"/>
    </row>
    <row r="641" spans="1:25" ht="15.75" hidden="1" customHeight="1" x14ac:dyDescent="0.2">
      <c r="A641" s="182"/>
      <c r="B641" s="175"/>
      <c r="C641" s="176"/>
      <c r="D641" s="176"/>
      <c r="E641" s="176"/>
      <c r="F641" s="123"/>
      <c r="G641" s="123"/>
      <c r="H641" s="123"/>
      <c r="I641" s="123"/>
      <c r="J641" s="174"/>
      <c r="K641" s="182"/>
      <c r="L641" s="182"/>
      <c r="M641" s="182"/>
      <c r="N641" s="182"/>
      <c r="O641" s="182"/>
      <c r="P641" s="182"/>
      <c r="Q641" s="182"/>
      <c r="R641" s="182"/>
      <c r="S641" s="182"/>
      <c r="T641" s="182"/>
      <c r="U641" s="182"/>
      <c r="V641" s="182"/>
      <c r="W641" s="182"/>
      <c r="X641" s="182"/>
      <c r="Y641" s="182"/>
    </row>
    <row r="642" spans="1:25" ht="15.75" hidden="1" customHeight="1" x14ac:dyDescent="0.2">
      <c r="A642" s="182"/>
      <c r="B642" s="175"/>
      <c r="C642" s="176"/>
      <c r="D642" s="176"/>
      <c r="E642" s="176"/>
      <c r="F642" s="123"/>
      <c r="G642" s="123"/>
      <c r="H642" s="123"/>
      <c r="I642" s="123"/>
      <c r="J642" s="174"/>
      <c r="K642" s="182"/>
      <c r="L642" s="182"/>
      <c r="M642" s="182"/>
      <c r="N642" s="182"/>
      <c r="O642" s="182"/>
      <c r="P642" s="182"/>
      <c r="Q642" s="182"/>
      <c r="R642" s="182"/>
      <c r="S642" s="182"/>
      <c r="T642" s="182"/>
      <c r="U642" s="182"/>
      <c r="V642" s="182"/>
      <c r="W642" s="182"/>
      <c r="X642" s="182"/>
      <c r="Y642" s="182"/>
    </row>
    <row r="643" spans="1:25" ht="15.75" hidden="1" customHeight="1" x14ac:dyDescent="0.2">
      <c r="A643" s="182"/>
      <c r="B643" s="175"/>
      <c r="C643" s="176"/>
      <c r="D643" s="176"/>
      <c r="E643" s="176"/>
      <c r="F643" s="123"/>
      <c r="G643" s="123"/>
      <c r="H643" s="123"/>
      <c r="I643" s="123"/>
      <c r="J643" s="174"/>
      <c r="K643" s="182"/>
      <c r="L643" s="182"/>
      <c r="M643" s="182"/>
      <c r="N643" s="182"/>
      <c r="O643" s="182"/>
      <c r="P643" s="182"/>
      <c r="Q643" s="182"/>
      <c r="R643" s="182"/>
      <c r="S643" s="182"/>
      <c r="T643" s="182"/>
      <c r="U643" s="182"/>
      <c r="V643" s="182"/>
      <c r="W643" s="182"/>
      <c r="X643" s="182"/>
      <c r="Y643" s="182"/>
    </row>
    <row r="644" spans="1:25" ht="15.75" hidden="1" customHeight="1" x14ac:dyDescent="0.2">
      <c r="A644" s="182"/>
      <c r="B644" s="175"/>
      <c r="C644" s="176"/>
      <c r="D644" s="176"/>
      <c r="E644" s="176"/>
      <c r="F644" s="123"/>
      <c r="G644" s="123"/>
      <c r="H644" s="123"/>
      <c r="I644" s="123"/>
      <c r="J644" s="174"/>
      <c r="K644" s="182"/>
      <c r="L644" s="182"/>
      <c r="M644" s="182"/>
      <c r="N644" s="182"/>
      <c r="O644" s="182"/>
      <c r="P644" s="182"/>
      <c r="Q644" s="182"/>
      <c r="R644" s="182"/>
      <c r="S644" s="182"/>
      <c r="T644" s="182"/>
      <c r="U644" s="182"/>
      <c r="V644" s="182"/>
      <c r="W644" s="182"/>
      <c r="X644" s="182"/>
      <c r="Y644" s="182"/>
    </row>
    <row r="645" spans="1:25" ht="15.75" hidden="1" customHeight="1" x14ac:dyDescent="0.2">
      <c r="A645" s="182"/>
      <c r="B645" s="175"/>
      <c r="C645" s="176"/>
      <c r="D645" s="176"/>
      <c r="E645" s="176"/>
      <c r="F645" s="123"/>
      <c r="G645" s="123"/>
      <c r="H645" s="123"/>
      <c r="I645" s="123"/>
      <c r="J645" s="174"/>
      <c r="K645" s="182"/>
      <c r="L645" s="182"/>
      <c r="M645" s="182"/>
      <c r="N645" s="182"/>
      <c r="O645" s="182"/>
      <c r="P645" s="182"/>
      <c r="Q645" s="182"/>
      <c r="R645" s="182"/>
      <c r="S645" s="182"/>
      <c r="T645" s="182"/>
      <c r="U645" s="182"/>
      <c r="V645" s="182"/>
      <c r="W645" s="182"/>
      <c r="X645" s="182"/>
      <c r="Y645" s="182"/>
    </row>
    <row r="646" spans="1:25" ht="15.75" hidden="1" customHeight="1" x14ac:dyDescent="0.2">
      <c r="A646" s="182"/>
      <c r="B646" s="175"/>
      <c r="C646" s="176"/>
      <c r="D646" s="176"/>
      <c r="E646" s="176"/>
      <c r="F646" s="123"/>
      <c r="G646" s="123"/>
      <c r="H646" s="123"/>
      <c r="I646" s="123"/>
      <c r="J646" s="174"/>
      <c r="K646" s="182"/>
      <c r="L646" s="182"/>
      <c r="M646" s="182"/>
      <c r="N646" s="182"/>
      <c r="O646" s="182"/>
      <c r="P646" s="182"/>
      <c r="Q646" s="182"/>
      <c r="R646" s="182"/>
      <c r="S646" s="182"/>
      <c r="T646" s="182"/>
      <c r="U646" s="182"/>
      <c r="V646" s="182"/>
      <c r="W646" s="182"/>
      <c r="X646" s="182"/>
      <c r="Y646" s="182"/>
    </row>
    <row r="647" spans="1:25" ht="15.75" hidden="1" customHeight="1" x14ac:dyDescent="0.2">
      <c r="A647" s="182"/>
      <c r="B647" s="175"/>
      <c r="C647" s="176"/>
      <c r="D647" s="176"/>
      <c r="E647" s="176"/>
      <c r="F647" s="123"/>
      <c r="G647" s="123"/>
      <c r="H647" s="123"/>
      <c r="I647" s="123"/>
      <c r="J647" s="174"/>
      <c r="K647" s="182"/>
      <c r="L647" s="182"/>
      <c r="M647" s="182"/>
      <c r="N647" s="182"/>
      <c r="O647" s="182"/>
      <c r="P647" s="182"/>
      <c r="Q647" s="182"/>
      <c r="R647" s="182"/>
      <c r="S647" s="182"/>
      <c r="T647" s="182"/>
      <c r="U647" s="182"/>
      <c r="V647" s="182"/>
      <c r="W647" s="182"/>
      <c r="X647" s="182"/>
      <c r="Y647" s="182"/>
    </row>
    <row r="648" spans="1:25" ht="15.75" hidden="1" customHeight="1" x14ac:dyDescent="0.2">
      <c r="A648" s="182"/>
      <c r="B648" s="175"/>
      <c r="C648" s="176"/>
      <c r="D648" s="176"/>
      <c r="E648" s="176"/>
      <c r="F648" s="123"/>
      <c r="G648" s="123"/>
      <c r="H648" s="123"/>
      <c r="I648" s="123"/>
      <c r="J648" s="174"/>
      <c r="K648" s="182"/>
      <c r="L648" s="182"/>
      <c r="M648" s="182"/>
      <c r="N648" s="182"/>
      <c r="O648" s="182"/>
      <c r="P648" s="182"/>
      <c r="Q648" s="182"/>
      <c r="R648" s="182"/>
      <c r="S648" s="182"/>
      <c r="T648" s="182"/>
      <c r="U648" s="182"/>
      <c r="V648" s="182"/>
      <c r="W648" s="182"/>
      <c r="X648" s="182"/>
      <c r="Y648" s="182"/>
    </row>
    <row r="649" spans="1:25" ht="15.75" hidden="1" customHeight="1" x14ac:dyDescent="0.2">
      <c r="A649" s="182"/>
      <c r="B649" s="175"/>
      <c r="C649" s="176"/>
      <c r="D649" s="176"/>
      <c r="E649" s="176"/>
      <c r="F649" s="123"/>
      <c r="G649" s="123"/>
      <c r="H649" s="123"/>
      <c r="I649" s="123"/>
      <c r="J649" s="174"/>
      <c r="K649" s="182"/>
      <c r="L649" s="182"/>
      <c r="M649" s="182"/>
      <c r="N649" s="182"/>
      <c r="O649" s="182"/>
      <c r="P649" s="182"/>
      <c r="Q649" s="182"/>
      <c r="R649" s="182"/>
      <c r="S649" s="182"/>
      <c r="T649" s="182"/>
      <c r="U649" s="182"/>
      <c r="V649" s="182"/>
      <c r="W649" s="182"/>
      <c r="X649" s="182"/>
      <c r="Y649" s="182"/>
    </row>
    <row r="650" spans="1:25" ht="15.75" hidden="1" customHeight="1" x14ac:dyDescent="0.2">
      <c r="A650" s="182"/>
      <c r="B650" s="175"/>
      <c r="C650" s="176"/>
      <c r="D650" s="176"/>
      <c r="E650" s="176"/>
      <c r="F650" s="123"/>
      <c r="G650" s="123"/>
      <c r="H650" s="123"/>
      <c r="I650" s="123"/>
      <c r="J650" s="174"/>
      <c r="K650" s="182"/>
      <c r="L650" s="182"/>
      <c r="M650" s="182"/>
      <c r="N650" s="182"/>
      <c r="O650" s="182"/>
      <c r="P650" s="182"/>
      <c r="Q650" s="182"/>
      <c r="R650" s="182"/>
      <c r="S650" s="182"/>
      <c r="T650" s="182"/>
      <c r="U650" s="182"/>
      <c r="V650" s="182"/>
      <c r="W650" s="182"/>
      <c r="X650" s="182"/>
      <c r="Y650" s="182"/>
    </row>
    <row r="651" spans="1:25" ht="15.75" hidden="1" customHeight="1" x14ac:dyDescent="0.2">
      <c r="A651" s="182"/>
      <c r="B651" s="175"/>
      <c r="C651" s="176"/>
      <c r="D651" s="176"/>
      <c r="E651" s="176"/>
      <c r="F651" s="123"/>
      <c r="G651" s="123"/>
      <c r="H651" s="123"/>
      <c r="I651" s="123"/>
      <c r="J651" s="174"/>
      <c r="K651" s="182"/>
      <c r="L651" s="182"/>
      <c r="M651" s="182"/>
      <c r="N651" s="182"/>
      <c r="O651" s="182"/>
      <c r="P651" s="182"/>
      <c r="Q651" s="182"/>
      <c r="R651" s="182"/>
      <c r="S651" s="182"/>
      <c r="T651" s="182"/>
      <c r="U651" s="182"/>
      <c r="V651" s="182"/>
      <c r="W651" s="182"/>
      <c r="X651" s="182"/>
      <c r="Y651" s="182"/>
    </row>
    <row r="652" spans="1:25" ht="15.75" hidden="1" customHeight="1" x14ac:dyDescent="0.2">
      <c r="A652" s="182"/>
      <c r="B652" s="175"/>
      <c r="C652" s="176"/>
      <c r="D652" s="176"/>
      <c r="E652" s="176"/>
      <c r="F652" s="123"/>
      <c r="G652" s="123"/>
      <c r="H652" s="123"/>
      <c r="I652" s="123"/>
      <c r="J652" s="174"/>
      <c r="K652" s="182"/>
      <c r="L652" s="182"/>
      <c r="M652" s="182"/>
      <c r="N652" s="182"/>
      <c r="O652" s="182"/>
      <c r="P652" s="182"/>
      <c r="Q652" s="182"/>
      <c r="R652" s="182"/>
      <c r="S652" s="182"/>
      <c r="T652" s="182"/>
      <c r="U652" s="182"/>
      <c r="V652" s="182"/>
      <c r="W652" s="182"/>
      <c r="X652" s="182"/>
      <c r="Y652" s="182"/>
    </row>
    <row r="653" spans="1:25" ht="15.75" hidden="1" customHeight="1" x14ac:dyDescent="0.2">
      <c r="A653" s="182"/>
      <c r="B653" s="175"/>
      <c r="C653" s="176"/>
      <c r="D653" s="176"/>
      <c r="E653" s="176"/>
      <c r="F653" s="123"/>
      <c r="G653" s="123"/>
      <c r="H653" s="123"/>
      <c r="I653" s="123"/>
      <c r="J653" s="174"/>
      <c r="K653" s="182"/>
      <c r="L653" s="182"/>
      <c r="M653" s="182"/>
      <c r="N653" s="182"/>
      <c r="O653" s="182"/>
      <c r="P653" s="182"/>
      <c r="Q653" s="182"/>
      <c r="R653" s="182"/>
      <c r="S653" s="182"/>
      <c r="T653" s="182"/>
      <c r="U653" s="182"/>
      <c r="V653" s="182"/>
      <c r="W653" s="182"/>
      <c r="X653" s="182"/>
      <c r="Y653" s="182"/>
    </row>
    <row r="654" spans="1:25" ht="15.75" hidden="1" customHeight="1" x14ac:dyDescent="0.2">
      <c r="A654" s="182"/>
      <c r="B654" s="175"/>
      <c r="C654" s="176"/>
      <c r="D654" s="176"/>
      <c r="E654" s="176"/>
      <c r="F654" s="123"/>
      <c r="G654" s="123"/>
      <c r="H654" s="123"/>
      <c r="I654" s="123"/>
      <c r="J654" s="174"/>
      <c r="K654" s="182"/>
      <c r="L654" s="182"/>
      <c r="M654" s="182"/>
      <c r="N654" s="182"/>
      <c r="O654" s="182"/>
      <c r="P654" s="182"/>
      <c r="Q654" s="182"/>
      <c r="R654" s="182"/>
      <c r="S654" s="182"/>
      <c r="T654" s="182"/>
      <c r="U654" s="182"/>
      <c r="V654" s="182"/>
      <c r="W654" s="182"/>
      <c r="X654" s="182"/>
      <c r="Y654" s="182"/>
    </row>
    <row r="655" spans="1:25" ht="15.75" hidden="1" customHeight="1" x14ac:dyDescent="0.2">
      <c r="A655" s="182"/>
      <c r="B655" s="175"/>
      <c r="C655" s="176"/>
      <c r="D655" s="176"/>
      <c r="E655" s="176"/>
      <c r="F655" s="123"/>
      <c r="G655" s="123"/>
      <c r="H655" s="123"/>
      <c r="I655" s="123"/>
      <c r="J655" s="174"/>
      <c r="K655" s="182"/>
      <c r="L655" s="182"/>
      <c r="M655" s="182"/>
      <c r="N655" s="182"/>
      <c r="O655" s="182"/>
      <c r="P655" s="182"/>
      <c r="Q655" s="182"/>
      <c r="R655" s="182"/>
      <c r="S655" s="182"/>
      <c r="T655" s="182"/>
      <c r="U655" s="182"/>
      <c r="V655" s="182"/>
      <c r="W655" s="182"/>
      <c r="X655" s="182"/>
      <c r="Y655" s="182"/>
    </row>
    <row r="656" spans="1:25" ht="15.75" hidden="1" customHeight="1" x14ac:dyDescent="0.2">
      <c r="A656" s="182"/>
      <c r="B656" s="175"/>
      <c r="C656" s="176"/>
      <c r="D656" s="176"/>
      <c r="E656" s="176"/>
      <c r="F656" s="123"/>
      <c r="G656" s="123"/>
      <c r="H656" s="123"/>
      <c r="I656" s="123"/>
      <c r="J656" s="174"/>
      <c r="K656" s="182"/>
      <c r="L656" s="182"/>
      <c r="M656" s="182"/>
      <c r="N656" s="182"/>
      <c r="O656" s="182"/>
      <c r="P656" s="182"/>
      <c r="Q656" s="182"/>
      <c r="R656" s="182"/>
      <c r="S656" s="182"/>
      <c r="T656" s="182"/>
      <c r="U656" s="182"/>
      <c r="V656" s="182"/>
      <c r="W656" s="182"/>
      <c r="X656" s="182"/>
      <c r="Y656" s="182"/>
    </row>
    <row r="657" spans="1:25" ht="15.75" hidden="1" customHeight="1" x14ac:dyDescent="0.2">
      <c r="A657" s="182"/>
      <c r="B657" s="175"/>
      <c r="C657" s="176"/>
      <c r="D657" s="176"/>
      <c r="E657" s="176"/>
      <c r="F657" s="123"/>
      <c r="G657" s="123"/>
      <c r="H657" s="123"/>
      <c r="I657" s="123"/>
      <c r="J657" s="174"/>
      <c r="K657" s="182"/>
      <c r="L657" s="182"/>
      <c r="M657" s="182"/>
      <c r="N657" s="182"/>
      <c r="O657" s="182"/>
      <c r="P657" s="182"/>
      <c r="Q657" s="182"/>
      <c r="R657" s="182"/>
      <c r="S657" s="182"/>
      <c r="T657" s="182"/>
      <c r="U657" s="182"/>
      <c r="V657" s="182"/>
      <c r="W657" s="182"/>
      <c r="X657" s="182"/>
      <c r="Y657" s="182"/>
    </row>
    <row r="658" spans="1:25" ht="15.75" hidden="1" customHeight="1" x14ac:dyDescent="0.2">
      <c r="A658" s="182"/>
      <c r="B658" s="175"/>
      <c r="C658" s="176"/>
      <c r="D658" s="176"/>
      <c r="E658" s="176"/>
      <c r="F658" s="123"/>
      <c r="G658" s="123"/>
      <c r="H658" s="123"/>
      <c r="I658" s="123"/>
      <c r="J658" s="174"/>
      <c r="K658" s="182"/>
      <c r="L658" s="182"/>
      <c r="M658" s="182"/>
      <c r="N658" s="182"/>
      <c r="O658" s="182"/>
      <c r="P658" s="182"/>
      <c r="Q658" s="182"/>
      <c r="R658" s="182"/>
      <c r="S658" s="182"/>
      <c r="T658" s="182"/>
      <c r="U658" s="182"/>
      <c r="V658" s="182"/>
      <c r="W658" s="182"/>
      <c r="X658" s="182"/>
      <c r="Y658" s="182"/>
    </row>
    <row r="659" spans="1:25" ht="15.75" hidden="1" customHeight="1" x14ac:dyDescent="0.2">
      <c r="A659" s="182"/>
      <c r="B659" s="175"/>
      <c r="C659" s="176"/>
      <c r="D659" s="176"/>
      <c r="E659" s="176"/>
      <c r="F659" s="123"/>
      <c r="G659" s="123"/>
      <c r="H659" s="123"/>
      <c r="I659" s="123"/>
      <c r="J659" s="174"/>
      <c r="K659" s="182"/>
      <c r="L659" s="182"/>
      <c r="M659" s="182"/>
      <c r="N659" s="182"/>
      <c r="O659" s="182"/>
      <c r="P659" s="182"/>
      <c r="Q659" s="182"/>
      <c r="R659" s="182"/>
      <c r="S659" s="182"/>
      <c r="T659" s="182"/>
      <c r="U659" s="182"/>
      <c r="V659" s="182"/>
      <c r="W659" s="182"/>
      <c r="X659" s="182"/>
      <c r="Y659" s="182"/>
    </row>
    <row r="660" spans="1:25" ht="15.75" hidden="1" customHeight="1" x14ac:dyDescent="0.2">
      <c r="A660" s="182"/>
      <c r="B660" s="175"/>
      <c r="C660" s="176"/>
      <c r="D660" s="176"/>
      <c r="E660" s="176"/>
      <c r="F660" s="123"/>
      <c r="G660" s="123"/>
      <c r="H660" s="123"/>
      <c r="I660" s="123"/>
      <c r="J660" s="174"/>
      <c r="K660" s="182"/>
      <c r="L660" s="182"/>
      <c r="M660" s="182"/>
      <c r="N660" s="182"/>
      <c r="O660" s="182"/>
      <c r="P660" s="182"/>
      <c r="Q660" s="182"/>
      <c r="R660" s="182"/>
      <c r="S660" s="182"/>
      <c r="T660" s="182"/>
      <c r="U660" s="182"/>
      <c r="V660" s="182"/>
      <c r="W660" s="182"/>
      <c r="X660" s="182"/>
      <c r="Y660" s="182"/>
    </row>
    <row r="661" spans="1:25" ht="15.75" hidden="1" customHeight="1" x14ac:dyDescent="0.2">
      <c r="A661" s="182"/>
      <c r="B661" s="175"/>
      <c r="C661" s="176"/>
      <c r="D661" s="176"/>
      <c r="E661" s="176"/>
      <c r="F661" s="123"/>
      <c r="G661" s="123"/>
      <c r="H661" s="123"/>
      <c r="I661" s="123"/>
      <c r="J661" s="174"/>
      <c r="K661" s="182"/>
      <c r="L661" s="182"/>
      <c r="M661" s="182"/>
      <c r="N661" s="182"/>
      <c r="O661" s="182"/>
      <c r="P661" s="182"/>
      <c r="Q661" s="182"/>
      <c r="R661" s="182"/>
      <c r="S661" s="182"/>
      <c r="T661" s="182"/>
      <c r="U661" s="182"/>
      <c r="V661" s="182"/>
      <c r="W661" s="182"/>
      <c r="X661" s="182"/>
      <c r="Y661" s="182"/>
    </row>
    <row r="662" spans="1:25" ht="15.75" hidden="1" customHeight="1" x14ac:dyDescent="0.2">
      <c r="A662" s="182"/>
      <c r="B662" s="175"/>
      <c r="C662" s="176"/>
      <c r="D662" s="176"/>
      <c r="E662" s="176"/>
      <c r="F662" s="123"/>
      <c r="G662" s="123"/>
      <c r="H662" s="123"/>
      <c r="I662" s="123"/>
      <c r="J662" s="174"/>
      <c r="K662" s="182"/>
      <c r="L662" s="182"/>
      <c r="M662" s="182"/>
      <c r="N662" s="182"/>
      <c r="O662" s="182"/>
      <c r="P662" s="182"/>
      <c r="Q662" s="182"/>
      <c r="R662" s="182"/>
      <c r="S662" s="182"/>
      <c r="T662" s="182"/>
      <c r="U662" s="182"/>
      <c r="V662" s="182"/>
      <c r="W662" s="182"/>
      <c r="X662" s="182"/>
      <c r="Y662" s="182"/>
    </row>
    <row r="663" spans="1:25" ht="15.75" hidden="1" customHeight="1" x14ac:dyDescent="0.2">
      <c r="A663" s="182"/>
      <c r="B663" s="175"/>
      <c r="C663" s="176"/>
      <c r="D663" s="176"/>
      <c r="E663" s="176"/>
      <c r="F663" s="123"/>
      <c r="G663" s="123"/>
      <c r="H663" s="123"/>
      <c r="I663" s="123"/>
      <c r="J663" s="174"/>
      <c r="K663" s="182"/>
      <c r="L663" s="182"/>
      <c r="M663" s="182"/>
      <c r="N663" s="182"/>
      <c r="O663" s="182"/>
      <c r="P663" s="182"/>
      <c r="Q663" s="182"/>
      <c r="R663" s="182"/>
      <c r="S663" s="182"/>
      <c r="T663" s="182"/>
      <c r="U663" s="182"/>
      <c r="V663" s="182"/>
      <c r="W663" s="182"/>
      <c r="X663" s="182"/>
      <c r="Y663" s="182"/>
    </row>
    <row r="664" spans="1:25" ht="15.75" hidden="1" customHeight="1" x14ac:dyDescent="0.2">
      <c r="A664" s="182"/>
      <c r="B664" s="175"/>
      <c r="C664" s="176"/>
      <c r="D664" s="176"/>
      <c r="E664" s="176"/>
      <c r="F664" s="123"/>
      <c r="G664" s="123"/>
      <c r="H664" s="123"/>
      <c r="I664" s="123"/>
      <c r="J664" s="174"/>
      <c r="K664" s="182"/>
      <c r="L664" s="182"/>
      <c r="M664" s="182"/>
      <c r="N664" s="182"/>
      <c r="O664" s="182"/>
      <c r="P664" s="182"/>
      <c r="Q664" s="182"/>
      <c r="R664" s="182"/>
      <c r="S664" s="182"/>
      <c r="T664" s="182"/>
      <c r="U664" s="182"/>
      <c r="V664" s="182"/>
      <c r="W664" s="182"/>
      <c r="X664" s="182"/>
      <c r="Y664" s="182"/>
    </row>
    <row r="665" spans="1:25" ht="15.75" hidden="1" customHeight="1" x14ac:dyDescent="0.2">
      <c r="A665" s="182"/>
      <c r="B665" s="175"/>
      <c r="C665" s="176"/>
      <c r="D665" s="176"/>
      <c r="E665" s="176"/>
      <c r="F665" s="123"/>
      <c r="G665" s="123"/>
      <c r="H665" s="123"/>
      <c r="I665" s="123"/>
      <c r="J665" s="174"/>
      <c r="K665" s="182"/>
      <c r="L665" s="182"/>
      <c r="M665" s="182"/>
      <c r="N665" s="182"/>
      <c r="O665" s="182"/>
      <c r="P665" s="182"/>
      <c r="Q665" s="182"/>
      <c r="R665" s="182"/>
      <c r="S665" s="182"/>
      <c r="T665" s="182"/>
      <c r="U665" s="182"/>
      <c r="V665" s="182"/>
      <c r="W665" s="182"/>
      <c r="X665" s="182"/>
      <c r="Y665" s="182"/>
    </row>
    <row r="666" spans="1:25" ht="15.75" hidden="1" customHeight="1" x14ac:dyDescent="0.2">
      <c r="A666" s="182"/>
      <c r="B666" s="175"/>
      <c r="C666" s="176"/>
      <c r="D666" s="176"/>
      <c r="E666" s="176"/>
      <c r="F666" s="123"/>
      <c r="G666" s="123"/>
      <c r="H666" s="123"/>
      <c r="I666" s="123"/>
      <c r="J666" s="174"/>
      <c r="K666" s="182"/>
      <c r="L666" s="182"/>
      <c r="M666" s="182"/>
      <c r="N666" s="182"/>
      <c r="O666" s="182"/>
      <c r="P666" s="182"/>
      <c r="Q666" s="182"/>
      <c r="R666" s="182"/>
      <c r="S666" s="182"/>
      <c r="T666" s="182"/>
      <c r="U666" s="182"/>
      <c r="V666" s="182"/>
      <c r="W666" s="182"/>
      <c r="X666" s="182"/>
      <c r="Y666" s="182"/>
    </row>
    <row r="667" spans="1:25" ht="15.75" hidden="1" customHeight="1" x14ac:dyDescent="0.2">
      <c r="A667" s="182"/>
      <c r="B667" s="175"/>
      <c r="C667" s="176"/>
      <c r="D667" s="176"/>
      <c r="E667" s="176"/>
      <c r="F667" s="123"/>
      <c r="G667" s="123"/>
      <c r="H667" s="123"/>
      <c r="I667" s="123"/>
      <c r="J667" s="174"/>
      <c r="K667" s="182"/>
      <c r="L667" s="182"/>
      <c r="M667" s="182"/>
      <c r="N667" s="182"/>
      <c r="O667" s="182"/>
      <c r="P667" s="182"/>
      <c r="Q667" s="182"/>
      <c r="R667" s="182"/>
      <c r="S667" s="182"/>
      <c r="T667" s="182"/>
      <c r="U667" s="182"/>
      <c r="V667" s="182"/>
      <c r="W667" s="182"/>
      <c r="X667" s="182"/>
      <c r="Y667" s="182"/>
    </row>
    <row r="668" spans="1:25" ht="15.75" hidden="1" customHeight="1" x14ac:dyDescent="0.2">
      <c r="A668" s="182"/>
      <c r="B668" s="175"/>
      <c r="C668" s="176"/>
      <c r="D668" s="176"/>
      <c r="E668" s="176"/>
      <c r="F668" s="123"/>
      <c r="G668" s="123"/>
      <c r="H668" s="123"/>
      <c r="I668" s="123"/>
      <c r="J668" s="174"/>
      <c r="K668" s="182"/>
      <c r="L668" s="182"/>
      <c r="M668" s="182"/>
      <c r="N668" s="182"/>
      <c r="O668" s="182"/>
      <c r="P668" s="182"/>
      <c r="Q668" s="182"/>
      <c r="R668" s="182"/>
      <c r="S668" s="182"/>
      <c r="T668" s="182"/>
      <c r="U668" s="182"/>
      <c r="V668" s="182"/>
      <c r="W668" s="182"/>
      <c r="X668" s="182"/>
      <c r="Y668" s="182"/>
    </row>
    <row r="669" spans="1:25" ht="15.75" hidden="1" customHeight="1" x14ac:dyDescent="0.2">
      <c r="A669" s="182"/>
      <c r="B669" s="175"/>
      <c r="C669" s="176"/>
      <c r="D669" s="176"/>
      <c r="E669" s="176"/>
      <c r="F669" s="123"/>
      <c r="G669" s="123"/>
      <c r="H669" s="123"/>
      <c r="I669" s="123"/>
      <c r="J669" s="174"/>
      <c r="K669" s="182"/>
      <c r="L669" s="182"/>
      <c r="M669" s="182"/>
      <c r="N669" s="182"/>
      <c r="O669" s="182"/>
      <c r="P669" s="182"/>
      <c r="Q669" s="182"/>
      <c r="R669" s="182"/>
      <c r="S669" s="182"/>
      <c r="T669" s="182"/>
      <c r="U669" s="182"/>
      <c r="V669" s="182"/>
      <c r="W669" s="182"/>
      <c r="X669" s="182"/>
      <c r="Y669" s="182"/>
    </row>
    <row r="670" spans="1:25" ht="15.75" hidden="1" customHeight="1" x14ac:dyDescent="0.2">
      <c r="A670" s="182"/>
      <c r="B670" s="175"/>
      <c r="C670" s="176"/>
      <c r="D670" s="176"/>
      <c r="E670" s="176"/>
      <c r="F670" s="123"/>
      <c r="G670" s="123"/>
      <c r="H670" s="123"/>
      <c r="I670" s="123"/>
      <c r="J670" s="174"/>
      <c r="K670" s="182"/>
      <c r="L670" s="182"/>
      <c r="M670" s="182"/>
      <c r="N670" s="182"/>
      <c r="O670" s="182"/>
      <c r="P670" s="182"/>
      <c r="Q670" s="182"/>
      <c r="R670" s="182"/>
      <c r="S670" s="182"/>
      <c r="T670" s="182"/>
      <c r="U670" s="182"/>
      <c r="V670" s="182"/>
      <c r="W670" s="182"/>
      <c r="X670" s="182"/>
      <c r="Y670" s="182"/>
    </row>
    <row r="671" spans="1:25" ht="15.75" hidden="1" customHeight="1" x14ac:dyDescent="0.2">
      <c r="A671" s="182"/>
      <c r="B671" s="175"/>
      <c r="C671" s="176"/>
      <c r="D671" s="176"/>
      <c r="E671" s="176"/>
      <c r="F671" s="123"/>
      <c r="G671" s="123"/>
      <c r="H671" s="123"/>
      <c r="I671" s="123"/>
      <c r="J671" s="174"/>
      <c r="K671" s="182"/>
      <c r="L671" s="182"/>
      <c r="M671" s="182"/>
      <c r="N671" s="182"/>
      <c r="O671" s="182"/>
      <c r="P671" s="182"/>
      <c r="Q671" s="182"/>
      <c r="R671" s="182"/>
      <c r="S671" s="182"/>
      <c r="T671" s="182"/>
      <c r="U671" s="182"/>
      <c r="V671" s="182"/>
      <c r="W671" s="182"/>
      <c r="X671" s="182"/>
      <c r="Y671" s="182"/>
    </row>
    <row r="672" spans="1:25" ht="15.75" hidden="1" customHeight="1" x14ac:dyDescent="0.2">
      <c r="A672" s="182"/>
      <c r="B672" s="175"/>
      <c r="C672" s="176"/>
      <c r="D672" s="176"/>
      <c r="E672" s="176"/>
      <c r="F672" s="123"/>
      <c r="G672" s="123"/>
      <c r="H672" s="123"/>
      <c r="I672" s="123"/>
      <c r="J672" s="174"/>
      <c r="K672" s="182"/>
      <c r="L672" s="182"/>
      <c r="M672" s="182"/>
      <c r="N672" s="182"/>
      <c r="O672" s="182"/>
      <c r="P672" s="182"/>
      <c r="Q672" s="182"/>
      <c r="R672" s="182"/>
      <c r="S672" s="182"/>
      <c r="T672" s="182"/>
      <c r="U672" s="182"/>
      <c r="V672" s="182"/>
      <c r="W672" s="182"/>
      <c r="X672" s="182"/>
      <c r="Y672" s="182"/>
    </row>
    <row r="673" spans="1:25" ht="15.75" hidden="1" customHeight="1" x14ac:dyDescent="0.2">
      <c r="A673" s="182"/>
      <c r="B673" s="175"/>
      <c r="C673" s="176"/>
      <c r="D673" s="176"/>
      <c r="E673" s="176"/>
      <c r="F673" s="123"/>
      <c r="G673" s="123"/>
      <c r="H673" s="123"/>
      <c r="I673" s="123"/>
      <c r="J673" s="174"/>
      <c r="K673" s="182"/>
      <c r="L673" s="182"/>
      <c r="M673" s="182"/>
      <c r="N673" s="182"/>
      <c r="O673" s="182"/>
      <c r="P673" s="182"/>
      <c r="Q673" s="182"/>
      <c r="R673" s="182"/>
      <c r="S673" s="182"/>
      <c r="T673" s="182"/>
      <c r="U673" s="182"/>
      <c r="V673" s="182"/>
      <c r="W673" s="182"/>
      <c r="X673" s="182"/>
      <c r="Y673" s="182"/>
    </row>
    <row r="674" spans="1:25" ht="15.75" hidden="1" customHeight="1" x14ac:dyDescent="0.2">
      <c r="A674" s="182"/>
      <c r="B674" s="175"/>
      <c r="C674" s="176"/>
      <c r="D674" s="176"/>
      <c r="E674" s="176"/>
      <c r="F674" s="123"/>
      <c r="G674" s="123"/>
      <c r="H674" s="123"/>
      <c r="I674" s="123"/>
      <c r="J674" s="174"/>
      <c r="K674" s="182"/>
      <c r="L674" s="182"/>
      <c r="M674" s="182"/>
      <c r="N674" s="182"/>
      <c r="O674" s="182"/>
      <c r="P674" s="182"/>
      <c r="Q674" s="182"/>
      <c r="R674" s="182"/>
      <c r="S674" s="182"/>
      <c r="T674" s="182"/>
      <c r="U674" s="182"/>
      <c r="V674" s="182"/>
      <c r="W674" s="182"/>
      <c r="X674" s="182"/>
      <c r="Y674" s="182"/>
    </row>
    <row r="675" spans="1:25" ht="15.75" hidden="1" customHeight="1" x14ac:dyDescent="0.2">
      <c r="A675" s="182"/>
      <c r="B675" s="175"/>
      <c r="C675" s="176"/>
      <c r="D675" s="176"/>
      <c r="E675" s="176"/>
      <c r="F675" s="123"/>
      <c r="G675" s="123"/>
      <c r="H675" s="123"/>
      <c r="I675" s="123"/>
      <c r="J675" s="174"/>
      <c r="K675" s="182"/>
      <c r="L675" s="182"/>
      <c r="M675" s="182"/>
      <c r="N675" s="182"/>
      <c r="O675" s="182"/>
      <c r="P675" s="182"/>
      <c r="Q675" s="182"/>
      <c r="R675" s="182"/>
      <c r="S675" s="182"/>
      <c r="T675" s="182"/>
      <c r="U675" s="182"/>
      <c r="V675" s="182"/>
      <c r="W675" s="182"/>
      <c r="X675" s="182"/>
      <c r="Y675" s="182"/>
    </row>
    <row r="676" spans="1:25" ht="15.75" hidden="1" customHeight="1" x14ac:dyDescent="0.2">
      <c r="A676" s="182"/>
      <c r="B676" s="175"/>
      <c r="C676" s="176"/>
      <c r="D676" s="176"/>
      <c r="E676" s="176"/>
      <c r="F676" s="123"/>
      <c r="G676" s="123"/>
      <c r="H676" s="123"/>
      <c r="I676" s="123"/>
      <c r="J676" s="174"/>
      <c r="K676" s="182"/>
      <c r="L676" s="182"/>
      <c r="M676" s="182"/>
      <c r="N676" s="182"/>
      <c r="O676" s="182"/>
      <c r="P676" s="182"/>
      <c r="Q676" s="182"/>
      <c r="R676" s="182"/>
      <c r="S676" s="182"/>
      <c r="T676" s="182"/>
      <c r="U676" s="182"/>
      <c r="V676" s="182"/>
      <c r="W676" s="182"/>
      <c r="X676" s="182"/>
      <c r="Y676" s="182"/>
    </row>
    <row r="677" spans="1:25" ht="15.75" hidden="1" customHeight="1" x14ac:dyDescent="0.2">
      <c r="A677" s="182"/>
      <c r="B677" s="175"/>
      <c r="C677" s="176"/>
      <c r="D677" s="176"/>
      <c r="E677" s="176"/>
      <c r="F677" s="123"/>
      <c r="G677" s="123"/>
      <c r="H677" s="123"/>
      <c r="I677" s="123"/>
      <c r="J677" s="174"/>
      <c r="K677" s="182"/>
      <c r="L677" s="182"/>
      <c r="M677" s="182"/>
      <c r="N677" s="182"/>
      <c r="O677" s="182"/>
      <c r="P677" s="182"/>
      <c r="Q677" s="182"/>
      <c r="R677" s="182"/>
      <c r="S677" s="182"/>
      <c r="T677" s="182"/>
      <c r="U677" s="182"/>
      <c r="V677" s="182"/>
      <c r="W677" s="182"/>
      <c r="X677" s="182"/>
      <c r="Y677" s="182"/>
    </row>
    <row r="678" spans="1:25" ht="15.75" hidden="1" customHeight="1" x14ac:dyDescent="0.2">
      <c r="A678" s="182"/>
      <c r="B678" s="175"/>
      <c r="C678" s="176"/>
      <c r="D678" s="176"/>
      <c r="E678" s="176"/>
      <c r="F678" s="123"/>
      <c r="G678" s="123"/>
      <c r="H678" s="123"/>
      <c r="I678" s="123"/>
      <c r="J678" s="174"/>
      <c r="K678" s="182"/>
      <c r="L678" s="182"/>
      <c r="M678" s="182"/>
      <c r="N678" s="182"/>
      <c r="O678" s="182"/>
      <c r="P678" s="182"/>
      <c r="Q678" s="182"/>
      <c r="R678" s="182"/>
      <c r="S678" s="182"/>
      <c r="T678" s="182"/>
      <c r="U678" s="182"/>
      <c r="V678" s="182"/>
      <c r="W678" s="182"/>
      <c r="X678" s="182"/>
      <c r="Y678" s="182"/>
    </row>
    <row r="679" spans="1:25" ht="15.75" hidden="1" customHeight="1" x14ac:dyDescent="0.2">
      <c r="A679" s="182"/>
      <c r="B679" s="175"/>
      <c r="C679" s="176"/>
      <c r="D679" s="176"/>
      <c r="E679" s="176"/>
      <c r="F679" s="123"/>
      <c r="G679" s="123"/>
      <c r="H679" s="123"/>
      <c r="I679" s="123"/>
      <c r="J679" s="174"/>
      <c r="K679" s="182"/>
      <c r="L679" s="182"/>
      <c r="M679" s="182"/>
      <c r="N679" s="182"/>
      <c r="O679" s="182"/>
      <c r="P679" s="182"/>
      <c r="Q679" s="182"/>
      <c r="R679" s="182"/>
      <c r="S679" s="182"/>
      <c r="T679" s="182"/>
      <c r="U679" s="182"/>
      <c r="V679" s="182"/>
      <c r="W679" s="182"/>
      <c r="X679" s="182"/>
      <c r="Y679" s="182"/>
    </row>
    <row r="680" spans="1:25" ht="15.75" hidden="1" customHeight="1" x14ac:dyDescent="0.2">
      <c r="A680" s="182"/>
      <c r="B680" s="175"/>
      <c r="C680" s="176"/>
      <c r="D680" s="176"/>
      <c r="E680" s="176"/>
      <c r="F680" s="123"/>
      <c r="G680" s="123"/>
      <c r="H680" s="123"/>
      <c r="I680" s="123"/>
      <c r="J680" s="174"/>
      <c r="K680" s="182"/>
      <c r="L680" s="182"/>
      <c r="M680" s="182"/>
      <c r="N680" s="182"/>
      <c r="O680" s="182"/>
      <c r="P680" s="182"/>
      <c r="Q680" s="182"/>
      <c r="R680" s="182"/>
      <c r="S680" s="182"/>
      <c r="T680" s="182"/>
      <c r="U680" s="182"/>
      <c r="V680" s="182"/>
      <c r="W680" s="182"/>
      <c r="X680" s="182"/>
      <c r="Y680" s="182"/>
    </row>
    <row r="681" spans="1:25" ht="15.75" hidden="1" customHeight="1" x14ac:dyDescent="0.2">
      <c r="A681" s="182"/>
      <c r="B681" s="175"/>
      <c r="C681" s="176"/>
      <c r="D681" s="176"/>
      <c r="E681" s="176"/>
      <c r="F681" s="123"/>
      <c r="G681" s="123"/>
      <c r="H681" s="123"/>
      <c r="I681" s="123"/>
      <c r="J681" s="174"/>
      <c r="K681" s="182"/>
      <c r="L681" s="182"/>
      <c r="M681" s="182"/>
      <c r="N681" s="182"/>
      <c r="O681" s="182"/>
      <c r="P681" s="182"/>
      <c r="Q681" s="182"/>
      <c r="R681" s="182"/>
      <c r="S681" s="182"/>
      <c r="T681" s="182"/>
      <c r="U681" s="182"/>
      <c r="V681" s="182"/>
      <c r="W681" s="182"/>
      <c r="X681" s="182"/>
      <c r="Y681" s="182"/>
    </row>
    <row r="682" spans="1:25" ht="15.75" hidden="1" customHeight="1" x14ac:dyDescent="0.2">
      <c r="A682" s="182"/>
      <c r="B682" s="175"/>
      <c r="C682" s="176"/>
      <c r="D682" s="176"/>
      <c r="E682" s="176"/>
      <c r="F682" s="123"/>
      <c r="G682" s="123"/>
      <c r="H682" s="123"/>
      <c r="I682" s="123"/>
      <c r="J682" s="174"/>
      <c r="K682" s="182"/>
      <c r="L682" s="182"/>
      <c r="M682" s="182"/>
      <c r="N682" s="182"/>
      <c r="O682" s="182"/>
      <c r="P682" s="182"/>
      <c r="Q682" s="182"/>
      <c r="R682" s="182"/>
      <c r="S682" s="182"/>
      <c r="T682" s="182"/>
      <c r="U682" s="182"/>
      <c r="V682" s="182"/>
      <c r="W682" s="182"/>
      <c r="X682" s="182"/>
      <c r="Y682" s="182"/>
    </row>
    <row r="683" spans="1:25" ht="15.75" hidden="1" customHeight="1" x14ac:dyDescent="0.2">
      <c r="A683" s="182"/>
      <c r="B683" s="175"/>
      <c r="C683" s="176"/>
      <c r="D683" s="176"/>
      <c r="E683" s="176"/>
      <c r="F683" s="123"/>
      <c r="G683" s="123"/>
      <c r="H683" s="123"/>
      <c r="I683" s="123"/>
      <c r="J683" s="174"/>
      <c r="K683" s="182"/>
      <c r="L683" s="182"/>
      <c r="M683" s="182"/>
      <c r="N683" s="182"/>
      <c r="O683" s="182"/>
      <c r="P683" s="182"/>
      <c r="Q683" s="182"/>
      <c r="R683" s="182"/>
      <c r="S683" s="182"/>
      <c r="T683" s="182"/>
      <c r="U683" s="182"/>
      <c r="V683" s="182"/>
      <c r="W683" s="182"/>
      <c r="X683" s="182"/>
      <c r="Y683" s="182"/>
    </row>
    <row r="684" spans="1:25" ht="15.75" hidden="1" customHeight="1" x14ac:dyDescent="0.2">
      <c r="A684" s="182"/>
      <c r="B684" s="175"/>
      <c r="C684" s="176"/>
      <c r="D684" s="176"/>
      <c r="E684" s="176"/>
      <c r="F684" s="123"/>
      <c r="G684" s="123"/>
      <c r="H684" s="123"/>
      <c r="I684" s="123"/>
      <c r="J684" s="174"/>
      <c r="K684" s="182"/>
      <c r="L684" s="182"/>
      <c r="M684" s="182"/>
      <c r="N684" s="182"/>
      <c r="O684" s="182"/>
      <c r="P684" s="182"/>
      <c r="Q684" s="182"/>
      <c r="R684" s="182"/>
      <c r="S684" s="182"/>
      <c r="T684" s="182"/>
      <c r="U684" s="182"/>
      <c r="V684" s="182"/>
      <c r="W684" s="182"/>
      <c r="X684" s="182"/>
      <c r="Y684" s="182"/>
    </row>
    <row r="685" spans="1:25" ht="15.75" hidden="1" customHeight="1" x14ac:dyDescent="0.2">
      <c r="A685" s="182"/>
      <c r="B685" s="175"/>
      <c r="C685" s="176"/>
      <c r="D685" s="176"/>
      <c r="E685" s="176"/>
      <c r="F685" s="123"/>
      <c r="G685" s="123"/>
      <c r="H685" s="123"/>
      <c r="I685" s="123"/>
      <c r="J685" s="174"/>
      <c r="K685" s="182"/>
      <c r="L685" s="182"/>
      <c r="M685" s="182"/>
      <c r="N685" s="182"/>
      <c r="O685" s="182"/>
      <c r="P685" s="182"/>
      <c r="Q685" s="182"/>
      <c r="R685" s="182"/>
      <c r="S685" s="182"/>
      <c r="T685" s="182"/>
      <c r="U685" s="182"/>
      <c r="V685" s="182"/>
      <c r="W685" s="182"/>
      <c r="X685" s="182"/>
      <c r="Y685" s="182"/>
    </row>
    <row r="686" spans="1:25" ht="15.75" hidden="1" customHeight="1" x14ac:dyDescent="0.2">
      <c r="A686" s="182"/>
      <c r="B686" s="175"/>
      <c r="C686" s="176"/>
      <c r="D686" s="176"/>
      <c r="E686" s="176"/>
      <c r="F686" s="123"/>
      <c r="G686" s="123"/>
      <c r="H686" s="123"/>
      <c r="I686" s="123"/>
      <c r="J686" s="174"/>
      <c r="K686" s="182"/>
      <c r="L686" s="182"/>
      <c r="M686" s="182"/>
      <c r="N686" s="182"/>
      <c r="O686" s="182"/>
      <c r="P686" s="182"/>
      <c r="Q686" s="182"/>
      <c r="R686" s="182"/>
      <c r="S686" s="182"/>
      <c r="T686" s="182"/>
      <c r="U686" s="182"/>
      <c r="V686" s="182"/>
      <c r="W686" s="182"/>
      <c r="X686" s="182"/>
      <c r="Y686" s="182"/>
    </row>
    <row r="687" spans="1:25" ht="15.75" hidden="1" customHeight="1" x14ac:dyDescent="0.2">
      <c r="A687" s="182"/>
      <c r="B687" s="175"/>
      <c r="C687" s="176"/>
      <c r="D687" s="176"/>
      <c r="E687" s="176"/>
      <c r="F687" s="123"/>
      <c r="G687" s="123"/>
      <c r="H687" s="123"/>
      <c r="I687" s="123"/>
      <c r="J687" s="174"/>
      <c r="K687" s="182"/>
      <c r="L687" s="182"/>
      <c r="M687" s="182"/>
      <c r="N687" s="182"/>
      <c r="O687" s="182"/>
      <c r="P687" s="182"/>
      <c r="Q687" s="182"/>
      <c r="R687" s="182"/>
      <c r="S687" s="182"/>
      <c r="T687" s="182"/>
      <c r="U687" s="182"/>
      <c r="V687" s="182"/>
      <c r="W687" s="182"/>
      <c r="X687" s="182"/>
      <c r="Y687" s="182"/>
    </row>
    <row r="688" spans="1:25" ht="15.75" hidden="1" customHeight="1" x14ac:dyDescent="0.2">
      <c r="A688" s="182"/>
      <c r="B688" s="175"/>
      <c r="C688" s="176"/>
      <c r="D688" s="176"/>
      <c r="E688" s="176"/>
      <c r="F688" s="123"/>
      <c r="G688" s="123"/>
      <c r="H688" s="123"/>
      <c r="I688" s="123"/>
      <c r="J688" s="174"/>
      <c r="K688" s="182"/>
      <c r="L688" s="182"/>
      <c r="M688" s="182"/>
      <c r="N688" s="182"/>
      <c r="O688" s="182"/>
      <c r="P688" s="182"/>
      <c r="Q688" s="182"/>
      <c r="R688" s="182"/>
      <c r="S688" s="182"/>
      <c r="T688" s="182"/>
      <c r="U688" s="182"/>
      <c r="V688" s="182"/>
      <c r="W688" s="182"/>
      <c r="X688" s="182"/>
      <c r="Y688" s="182"/>
    </row>
    <row r="689" spans="1:25" ht="15.75" hidden="1" customHeight="1" x14ac:dyDescent="0.2">
      <c r="A689" s="182"/>
      <c r="B689" s="175"/>
      <c r="C689" s="176"/>
      <c r="D689" s="176"/>
      <c r="E689" s="176"/>
      <c r="F689" s="123"/>
      <c r="G689" s="123"/>
      <c r="H689" s="123"/>
      <c r="I689" s="123"/>
      <c r="J689" s="174"/>
      <c r="K689" s="182"/>
      <c r="L689" s="182"/>
      <c r="M689" s="182"/>
      <c r="N689" s="182"/>
      <c r="O689" s="182"/>
      <c r="P689" s="182"/>
      <c r="Q689" s="182"/>
      <c r="R689" s="182"/>
      <c r="S689" s="182"/>
      <c r="T689" s="182"/>
      <c r="U689" s="182"/>
      <c r="V689" s="182"/>
      <c r="W689" s="182"/>
      <c r="X689" s="182"/>
      <c r="Y689" s="182"/>
    </row>
    <row r="690" spans="1:25" ht="15.75" hidden="1" customHeight="1" x14ac:dyDescent="0.2">
      <c r="A690" s="182"/>
      <c r="B690" s="175"/>
      <c r="C690" s="176"/>
      <c r="D690" s="176"/>
      <c r="E690" s="176"/>
      <c r="F690" s="123"/>
      <c r="G690" s="123"/>
      <c r="H690" s="123"/>
      <c r="I690" s="123"/>
      <c r="J690" s="174"/>
      <c r="K690" s="182"/>
      <c r="L690" s="182"/>
      <c r="M690" s="182"/>
      <c r="N690" s="182"/>
      <c r="O690" s="182"/>
      <c r="P690" s="182"/>
      <c r="Q690" s="182"/>
      <c r="R690" s="182"/>
      <c r="S690" s="182"/>
      <c r="T690" s="182"/>
      <c r="U690" s="182"/>
      <c r="V690" s="182"/>
      <c r="W690" s="182"/>
      <c r="X690" s="182"/>
      <c r="Y690" s="182"/>
    </row>
    <row r="691" spans="1:25" ht="15.75" hidden="1" customHeight="1" x14ac:dyDescent="0.2">
      <c r="A691" s="182"/>
      <c r="B691" s="175"/>
      <c r="C691" s="176"/>
      <c r="D691" s="176"/>
      <c r="E691" s="176"/>
      <c r="F691" s="123"/>
      <c r="G691" s="123"/>
      <c r="H691" s="123"/>
      <c r="I691" s="123"/>
      <c r="J691" s="174"/>
      <c r="K691" s="182"/>
      <c r="L691" s="182"/>
      <c r="M691" s="182"/>
      <c r="N691" s="182"/>
      <c r="O691" s="182"/>
      <c r="P691" s="182"/>
      <c r="Q691" s="182"/>
      <c r="R691" s="182"/>
      <c r="S691" s="182"/>
      <c r="T691" s="182"/>
      <c r="U691" s="182"/>
      <c r="V691" s="182"/>
      <c r="W691" s="182"/>
      <c r="X691" s="182"/>
      <c r="Y691" s="182"/>
    </row>
    <row r="692" spans="1:25" ht="15.75" hidden="1" customHeight="1" x14ac:dyDescent="0.2">
      <c r="A692" s="182"/>
      <c r="B692" s="175"/>
      <c r="C692" s="176"/>
      <c r="D692" s="176"/>
      <c r="E692" s="176"/>
      <c r="F692" s="123"/>
      <c r="G692" s="123"/>
      <c r="H692" s="123"/>
      <c r="I692" s="123"/>
      <c r="J692" s="174"/>
      <c r="K692" s="182"/>
      <c r="L692" s="182"/>
      <c r="M692" s="182"/>
      <c r="N692" s="182"/>
      <c r="O692" s="182"/>
      <c r="P692" s="182"/>
      <c r="Q692" s="182"/>
      <c r="R692" s="182"/>
      <c r="S692" s="182"/>
      <c r="T692" s="182"/>
      <c r="U692" s="182"/>
      <c r="V692" s="182"/>
      <c r="W692" s="182"/>
      <c r="X692" s="182"/>
      <c r="Y692" s="182"/>
    </row>
    <row r="693" spans="1:25" ht="15.75" hidden="1" customHeight="1" x14ac:dyDescent="0.2">
      <c r="A693" s="182"/>
      <c r="B693" s="175"/>
      <c r="C693" s="176"/>
      <c r="D693" s="176"/>
      <c r="E693" s="176"/>
      <c r="F693" s="123"/>
      <c r="G693" s="123"/>
      <c r="H693" s="123"/>
      <c r="I693" s="123"/>
      <c r="J693" s="174"/>
      <c r="K693" s="182"/>
      <c r="L693" s="182"/>
      <c r="M693" s="182"/>
      <c r="N693" s="182"/>
      <c r="O693" s="182"/>
      <c r="P693" s="182"/>
      <c r="Q693" s="182"/>
      <c r="R693" s="182"/>
      <c r="S693" s="182"/>
      <c r="T693" s="182"/>
      <c r="U693" s="182"/>
      <c r="V693" s="182"/>
      <c r="W693" s="182"/>
      <c r="X693" s="182"/>
      <c r="Y693" s="182"/>
    </row>
    <row r="694" spans="1:25" ht="15.75" hidden="1" customHeight="1" x14ac:dyDescent="0.2">
      <c r="A694" s="182"/>
      <c r="B694" s="175"/>
      <c r="C694" s="176"/>
      <c r="D694" s="176"/>
      <c r="E694" s="176"/>
      <c r="F694" s="123"/>
      <c r="G694" s="123"/>
      <c r="H694" s="123"/>
      <c r="I694" s="123"/>
      <c r="J694" s="174"/>
      <c r="K694" s="182"/>
      <c r="L694" s="182"/>
      <c r="M694" s="182"/>
      <c r="N694" s="182"/>
      <c r="O694" s="182"/>
      <c r="P694" s="182"/>
      <c r="Q694" s="182"/>
      <c r="R694" s="182"/>
      <c r="S694" s="182"/>
      <c r="T694" s="182"/>
      <c r="U694" s="182"/>
      <c r="V694" s="182"/>
      <c r="W694" s="182"/>
      <c r="X694" s="182"/>
      <c r="Y694" s="182"/>
    </row>
    <row r="695" spans="1:25" ht="15.75" hidden="1" customHeight="1" x14ac:dyDescent="0.2">
      <c r="A695" s="182"/>
      <c r="B695" s="175"/>
      <c r="C695" s="176"/>
      <c r="D695" s="176"/>
      <c r="E695" s="176"/>
      <c r="F695" s="123"/>
      <c r="G695" s="123"/>
      <c r="H695" s="123"/>
      <c r="I695" s="123"/>
      <c r="J695" s="174"/>
      <c r="K695" s="182"/>
      <c r="L695" s="182"/>
      <c r="M695" s="182"/>
      <c r="N695" s="182"/>
      <c r="O695" s="182"/>
      <c r="P695" s="182"/>
      <c r="Q695" s="182"/>
      <c r="R695" s="182"/>
      <c r="S695" s="182"/>
      <c r="T695" s="182"/>
      <c r="U695" s="182"/>
      <c r="V695" s="182"/>
      <c r="W695" s="182"/>
      <c r="X695" s="182"/>
      <c r="Y695" s="182"/>
    </row>
    <row r="696" spans="1:25" ht="15.75" hidden="1" customHeight="1" x14ac:dyDescent="0.2">
      <c r="A696" s="182"/>
      <c r="B696" s="175"/>
      <c r="C696" s="176"/>
      <c r="D696" s="176"/>
      <c r="E696" s="176"/>
      <c r="F696" s="123"/>
      <c r="G696" s="123"/>
      <c r="H696" s="123"/>
      <c r="I696" s="123"/>
      <c r="J696" s="174"/>
      <c r="K696" s="182"/>
      <c r="L696" s="182"/>
      <c r="M696" s="182"/>
      <c r="N696" s="182"/>
      <c r="O696" s="182"/>
      <c r="P696" s="182"/>
      <c r="Q696" s="182"/>
      <c r="R696" s="182"/>
      <c r="S696" s="182"/>
      <c r="T696" s="182"/>
      <c r="U696" s="182"/>
      <c r="V696" s="182"/>
      <c r="W696" s="182"/>
      <c r="X696" s="182"/>
      <c r="Y696" s="182"/>
    </row>
    <row r="697" spans="1:25" ht="15.75" hidden="1" customHeight="1" x14ac:dyDescent="0.2">
      <c r="A697" s="182"/>
      <c r="B697" s="175"/>
      <c r="C697" s="176"/>
      <c r="D697" s="176"/>
      <c r="E697" s="176"/>
      <c r="F697" s="123"/>
      <c r="G697" s="123"/>
      <c r="H697" s="123"/>
      <c r="I697" s="123"/>
      <c r="J697" s="174"/>
      <c r="K697" s="182"/>
      <c r="L697" s="182"/>
      <c r="M697" s="182"/>
      <c r="N697" s="182"/>
      <c r="O697" s="182"/>
      <c r="P697" s="182"/>
      <c r="Q697" s="182"/>
      <c r="R697" s="182"/>
      <c r="S697" s="182"/>
      <c r="T697" s="182"/>
      <c r="U697" s="182"/>
      <c r="V697" s="182"/>
      <c r="W697" s="182"/>
      <c r="X697" s="182"/>
      <c r="Y697" s="182"/>
    </row>
    <row r="698" spans="1:25" ht="15.75" hidden="1" customHeight="1" x14ac:dyDescent="0.2">
      <c r="A698" s="182"/>
      <c r="B698" s="175"/>
      <c r="C698" s="176"/>
      <c r="D698" s="176"/>
      <c r="E698" s="176"/>
      <c r="F698" s="123"/>
      <c r="G698" s="123"/>
      <c r="H698" s="123"/>
      <c r="I698" s="123"/>
      <c r="J698" s="174"/>
      <c r="K698" s="182"/>
      <c r="L698" s="182"/>
      <c r="M698" s="182"/>
      <c r="N698" s="182"/>
      <c r="O698" s="182"/>
      <c r="P698" s="182"/>
      <c r="Q698" s="182"/>
      <c r="R698" s="182"/>
      <c r="S698" s="182"/>
      <c r="T698" s="182"/>
      <c r="U698" s="182"/>
      <c r="V698" s="182"/>
      <c r="W698" s="182"/>
      <c r="X698" s="182"/>
      <c r="Y698" s="182"/>
    </row>
    <row r="699" spans="1:25" ht="15.75" hidden="1" customHeight="1" x14ac:dyDescent="0.2">
      <c r="A699" s="182"/>
      <c r="B699" s="175"/>
      <c r="C699" s="176"/>
      <c r="D699" s="176"/>
      <c r="E699" s="176"/>
      <c r="F699" s="123"/>
      <c r="G699" s="123"/>
      <c r="H699" s="123"/>
      <c r="I699" s="123"/>
      <c r="J699" s="174"/>
      <c r="K699" s="182"/>
      <c r="L699" s="182"/>
      <c r="M699" s="182"/>
      <c r="N699" s="182"/>
      <c r="O699" s="182"/>
      <c r="P699" s="182"/>
      <c r="Q699" s="182"/>
      <c r="R699" s="182"/>
      <c r="S699" s="182"/>
      <c r="T699" s="182"/>
      <c r="U699" s="182"/>
      <c r="V699" s="182"/>
      <c r="W699" s="182"/>
      <c r="X699" s="182"/>
      <c r="Y699" s="182"/>
    </row>
    <row r="700" spans="1:25" ht="15.75" hidden="1" customHeight="1" x14ac:dyDescent="0.2">
      <c r="A700" s="182"/>
      <c r="B700" s="175"/>
      <c r="C700" s="176"/>
      <c r="D700" s="176"/>
      <c r="E700" s="176"/>
      <c r="F700" s="123"/>
      <c r="G700" s="123"/>
      <c r="H700" s="123"/>
      <c r="I700" s="123"/>
      <c r="J700" s="174"/>
      <c r="K700" s="182"/>
      <c r="L700" s="182"/>
      <c r="M700" s="182"/>
      <c r="N700" s="182"/>
      <c r="O700" s="182"/>
      <c r="P700" s="182"/>
      <c r="Q700" s="182"/>
      <c r="R700" s="182"/>
      <c r="S700" s="182"/>
      <c r="T700" s="182"/>
      <c r="U700" s="182"/>
      <c r="V700" s="182"/>
      <c r="W700" s="182"/>
      <c r="X700" s="182"/>
      <c r="Y700" s="182"/>
    </row>
    <row r="701" spans="1:25" ht="15.75" hidden="1" customHeight="1" x14ac:dyDescent="0.2">
      <c r="A701" s="182"/>
      <c r="B701" s="175"/>
      <c r="C701" s="176"/>
      <c r="D701" s="176"/>
      <c r="E701" s="176"/>
      <c r="F701" s="123"/>
      <c r="G701" s="123"/>
      <c r="H701" s="123"/>
      <c r="I701" s="123"/>
      <c r="J701" s="174"/>
      <c r="K701" s="182"/>
      <c r="L701" s="182"/>
      <c r="M701" s="182"/>
      <c r="N701" s="182"/>
      <c r="O701" s="182"/>
      <c r="P701" s="182"/>
      <c r="Q701" s="182"/>
      <c r="R701" s="182"/>
      <c r="S701" s="182"/>
      <c r="T701" s="182"/>
      <c r="U701" s="182"/>
      <c r="V701" s="182"/>
      <c r="W701" s="182"/>
      <c r="X701" s="182"/>
      <c r="Y701" s="182"/>
    </row>
    <row r="702" spans="1:25" ht="15.75" hidden="1" customHeight="1" x14ac:dyDescent="0.2">
      <c r="A702" s="182"/>
      <c r="B702" s="175"/>
      <c r="C702" s="176"/>
      <c r="D702" s="176"/>
      <c r="E702" s="176"/>
      <c r="F702" s="123"/>
      <c r="G702" s="123"/>
      <c r="H702" s="123"/>
      <c r="I702" s="123"/>
      <c r="J702" s="174"/>
      <c r="K702" s="182"/>
      <c r="L702" s="182"/>
      <c r="M702" s="182"/>
      <c r="N702" s="182"/>
      <c r="O702" s="182"/>
      <c r="P702" s="182"/>
      <c r="Q702" s="182"/>
      <c r="R702" s="182"/>
      <c r="S702" s="182"/>
      <c r="T702" s="182"/>
      <c r="U702" s="182"/>
      <c r="V702" s="182"/>
      <c r="W702" s="182"/>
      <c r="X702" s="182"/>
      <c r="Y702" s="182"/>
    </row>
    <row r="703" spans="1:25" ht="15.75" hidden="1" customHeight="1" x14ac:dyDescent="0.2">
      <c r="A703" s="182"/>
      <c r="B703" s="175"/>
      <c r="C703" s="176"/>
      <c r="D703" s="176"/>
      <c r="E703" s="176"/>
      <c r="F703" s="123"/>
      <c r="G703" s="123"/>
      <c r="H703" s="123"/>
      <c r="I703" s="123"/>
      <c r="J703" s="174"/>
      <c r="K703" s="182"/>
      <c r="L703" s="182"/>
      <c r="M703" s="182"/>
      <c r="N703" s="182"/>
      <c r="O703" s="182"/>
      <c r="P703" s="182"/>
      <c r="Q703" s="182"/>
      <c r="R703" s="182"/>
      <c r="S703" s="182"/>
      <c r="T703" s="182"/>
      <c r="U703" s="182"/>
      <c r="V703" s="182"/>
      <c r="W703" s="182"/>
      <c r="X703" s="182"/>
      <c r="Y703" s="182"/>
    </row>
    <row r="704" spans="1:25" ht="15.75" hidden="1" customHeight="1" x14ac:dyDescent="0.2">
      <c r="A704" s="182"/>
      <c r="B704" s="175"/>
      <c r="C704" s="176"/>
      <c r="D704" s="176"/>
      <c r="E704" s="176"/>
      <c r="F704" s="123"/>
      <c r="G704" s="123"/>
      <c r="H704" s="123"/>
      <c r="I704" s="123"/>
      <c r="J704" s="174"/>
      <c r="K704" s="182"/>
      <c r="L704" s="182"/>
      <c r="M704" s="182"/>
      <c r="N704" s="182"/>
      <c r="O704" s="182"/>
      <c r="P704" s="182"/>
      <c r="Q704" s="182"/>
      <c r="R704" s="182"/>
      <c r="S704" s="182"/>
      <c r="T704" s="182"/>
      <c r="U704" s="182"/>
      <c r="V704" s="182"/>
      <c r="W704" s="182"/>
      <c r="X704" s="182"/>
      <c r="Y704" s="182"/>
    </row>
    <row r="705" spans="1:25" ht="15.75" hidden="1" customHeight="1" x14ac:dyDescent="0.2">
      <c r="A705" s="182"/>
      <c r="B705" s="175"/>
      <c r="C705" s="176"/>
      <c r="D705" s="176"/>
      <c r="E705" s="176"/>
      <c r="F705" s="123"/>
      <c r="G705" s="123"/>
      <c r="H705" s="123"/>
      <c r="I705" s="123"/>
      <c r="J705" s="174"/>
      <c r="K705" s="182"/>
      <c r="L705" s="182"/>
      <c r="M705" s="182"/>
      <c r="N705" s="182"/>
      <c r="O705" s="182"/>
      <c r="P705" s="182"/>
      <c r="Q705" s="182"/>
      <c r="R705" s="182"/>
      <c r="S705" s="182"/>
      <c r="T705" s="182"/>
      <c r="U705" s="182"/>
      <c r="V705" s="182"/>
      <c r="W705" s="182"/>
      <c r="X705" s="182"/>
      <c r="Y705" s="182"/>
    </row>
    <row r="706" spans="1:25" ht="15.75" hidden="1" customHeight="1" x14ac:dyDescent="0.2">
      <c r="A706" s="182"/>
      <c r="B706" s="175"/>
      <c r="C706" s="176"/>
      <c r="D706" s="176"/>
      <c r="E706" s="176"/>
      <c r="F706" s="123"/>
      <c r="G706" s="123"/>
      <c r="H706" s="123"/>
      <c r="I706" s="123"/>
      <c r="J706" s="174"/>
      <c r="K706" s="182"/>
      <c r="L706" s="182"/>
      <c r="M706" s="182"/>
      <c r="N706" s="182"/>
      <c r="O706" s="182"/>
      <c r="P706" s="182"/>
      <c r="Q706" s="182"/>
      <c r="R706" s="182"/>
      <c r="S706" s="182"/>
      <c r="T706" s="182"/>
      <c r="U706" s="182"/>
      <c r="V706" s="182"/>
      <c r="W706" s="182"/>
      <c r="X706" s="182"/>
      <c r="Y706" s="182"/>
    </row>
    <row r="707" spans="1:25" ht="15.75" hidden="1" customHeight="1" x14ac:dyDescent="0.2">
      <c r="A707" s="182"/>
      <c r="B707" s="175"/>
      <c r="C707" s="176"/>
      <c r="D707" s="176"/>
      <c r="E707" s="176"/>
      <c r="F707" s="123"/>
      <c r="G707" s="123"/>
      <c r="H707" s="123"/>
      <c r="I707" s="123"/>
      <c r="J707" s="174"/>
      <c r="K707" s="182"/>
      <c r="L707" s="182"/>
      <c r="M707" s="182"/>
      <c r="N707" s="182"/>
      <c r="O707" s="182"/>
      <c r="P707" s="182"/>
      <c r="Q707" s="182"/>
      <c r="R707" s="182"/>
      <c r="S707" s="182"/>
      <c r="T707" s="182"/>
      <c r="U707" s="182"/>
      <c r="V707" s="182"/>
      <c r="W707" s="182"/>
      <c r="X707" s="182"/>
      <c r="Y707" s="182"/>
    </row>
    <row r="708" spans="1:25" ht="15.75" hidden="1" customHeight="1" x14ac:dyDescent="0.2">
      <c r="A708" s="182"/>
      <c r="B708" s="175"/>
      <c r="C708" s="176"/>
      <c r="D708" s="176"/>
      <c r="E708" s="176"/>
      <c r="F708" s="123"/>
      <c r="G708" s="123"/>
      <c r="H708" s="123"/>
      <c r="I708" s="123"/>
      <c r="J708" s="174"/>
      <c r="K708" s="182"/>
      <c r="L708" s="182"/>
      <c r="M708" s="182"/>
      <c r="N708" s="182"/>
      <c r="O708" s="182"/>
      <c r="P708" s="182"/>
      <c r="Q708" s="182"/>
      <c r="R708" s="182"/>
      <c r="S708" s="182"/>
      <c r="T708" s="182"/>
      <c r="U708" s="182"/>
      <c r="V708" s="182"/>
      <c r="W708" s="182"/>
      <c r="X708" s="182"/>
      <c r="Y708" s="182"/>
    </row>
    <row r="709" spans="1:25" ht="15.75" hidden="1" customHeight="1" x14ac:dyDescent="0.2">
      <c r="A709" s="182"/>
      <c r="B709" s="175"/>
      <c r="C709" s="176"/>
      <c r="D709" s="176"/>
      <c r="E709" s="176"/>
      <c r="F709" s="123"/>
      <c r="G709" s="123"/>
      <c r="H709" s="123"/>
      <c r="I709" s="123"/>
      <c r="J709" s="174"/>
      <c r="K709" s="182"/>
      <c r="L709" s="182"/>
      <c r="M709" s="182"/>
      <c r="N709" s="182"/>
      <c r="O709" s="182"/>
      <c r="P709" s="182"/>
      <c r="Q709" s="182"/>
      <c r="R709" s="182"/>
      <c r="S709" s="182"/>
      <c r="T709" s="182"/>
      <c r="U709" s="182"/>
      <c r="V709" s="182"/>
      <c r="W709" s="182"/>
      <c r="X709" s="182"/>
      <c r="Y709" s="182"/>
    </row>
    <row r="710" spans="1:25" ht="15.75" hidden="1" customHeight="1" x14ac:dyDescent="0.2">
      <c r="A710" s="182"/>
      <c r="B710" s="175"/>
      <c r="C710" s="176"/>
      <c r="D710" s="176"/>
      <c r="E710" s="176"/>
      <c r="F710" s="123"/>
      <c r="G710" s="123"/>
      <c r="H710" s="123"/>
      <c r="I710" s="123"/>
      <c r="J710" s="174"/>
      <c r="K710" s="182"/>
      <c r="L710" s="182"/>
      <c r="M710" s="182"/>
      <c r="N710" s="182"/>
      <c r="O710" s="182"/>
      <c r="P710" s="182"/>
      <c r="Q710" s="182"/>
      <c r="R710" s="182"/>
      <c r="S710" s="182"/>
      <c r="T710" s="182"/>
      <c r="U710" s="182"/>
      <c r="V710" s="182"/>
      <c r="W710" s="182"/>
      <c r="X710" s="182"/>
      <c r="Y710" s="182"/>
    </row>
    <row r="711" spans="1:25" ht="15.75" hidden="1" customHeight="1" x14ac:dyDescent="0.2">
      <c r="A711" s="182"/>
      <c r="B711" s="175"/>
      <c r="C711" s="176"/>
      <c r="D711" s="176"/>
      <c r="E711" s="176"/>
      <c r="F711" s="123"/>
      <c r="G711" s="123"/>
      <c r="H711" s="123"/>
      <c r="I711" s="123"/>
      <c r="J711" s="174"/>
      <c r="K711" s="182"/>
      <c r="L711" s="182"/>
      <c r="M711" s="182"/>
      <c r="N711" s="182"/>
      <c r="O711" s="182"/>
      <c r="P711" s="182"/>
      <c r="Q711" s="182"/>
      <c r="R711" s="182"/>
      <c r="S711" s="182"/>
      <c r="T711" s="182"/>
      <c r="U711" s="182"/>
      <c r="V711" s="182"/>
      <c r="W711" s="182"/>
      <c r="X711" s="182"/>
      <c r="Y711" s="182"/>
    </row>
    <row r="712" spans="1:25" ht="15.75" hidden="1" customHeight="1" x14ac:dyDescent="0.2">
      <c r="A712" s="182"/>
      <c r="B712" s="175"/>
      <c r="C712" s="176"/>
      <c r="D712" s="176"/>
      <c r="E712" s="176"/>
      <c r="F712" s="123"/>
      <c r="G712" s="123"/>
      <c r="H712" s="123"/>
      <c r="I712" s="123"/>
      <c r="J712" s="174"/>
      <c r="K712" s="182"/>
      <c r="L712" s="182"/>
      <c r="M712" s="182"/>
      <c r="N712" s="182"/>
      <c r="O712" s="182"/>
      <c r="P712" s="182"/>
      <c r="Q712" s="182"/>
      <c r="R712" s="182"/>
      <c r="S712" s="182"/>
      <c r="T712" s="182"/>
      <c r="U712" s="182"/>
      <c r="V712" s="182"/>
      <c r="W712" s="182"/>
      <c r="X712" s="182"/>
      <c r="Y712" s="182"/>
    </row>
    <row r="713" spans="1:25" ht="15.75" hidden="1" customHeight="1" x14ac:dyDescent="0.2">
      <c r="A713" s="182"/>
      <c r="B713" s="175"/>
      <c r="C713" s="176"/>
      <c r="D713" s="176"/>
      <c r="E713" s="176"/>
      <c r="F713" s="123"/>
      <c r="G713" s="123"/>
      <c r="H713" s="123"/>
      <c r="I713" s="123"/>
      <c r="J713" s="174"/>
      <c r="K713" s="182"/>
      <c r="L713" s="182"/>
      <c r="M713" s="182"/>
      <c r="N713" s="182"/>
      <c r="O713" s="182"/>
      <c r="P713" s="182"/>
      <c r="Q713" s="182"/>
      <c r="R713" s="182"/>
      <c r="S713" s="182"/>
      <c r="T713" s="182"/>
      <c r="U713" s="182"/>
      <c r="V713" s="182"/>
      <c r="W713" s="182"/>
      <c r="X713" s="182"/>
      <c r="Y713" s="182"/>
    </row>
    <row r="714" spans="1:25" ht="15.75" hidden="1" customHeight="1" x14ac:dyDescent="0.2">
      <c r="A714" s="182"/>
      <c r="B714" s="175"/>
      <c r="C714" s="176"/>
      <c r="D714" s="176"/>
      <c r="E714" s="176"/>
      <c r="F714" s="123"/>
      <c r="G714" s="123"/>
      <c r="H714" s="123"/>
      <c r="I714" s="123"/>
      <c r="J714" s="174"/>
      <c r="K714" s="182"/>
      <c r="L714" s="182"/>
      <c r="M714" s="182"/>
      <c r="N714" s="182"/>
      <c r="O714" s="182"/>
      <c r="P714" s="182"/>
      <c r="Q714" s="182"/>
      <c r="R714" s="182"/>
      <c r="S714" s="182"/>
      <c r="T714" s="182"/>
      <c r="U714" s="182"/>
      <c r="V714" s="182"/>
      <c r="W714" s="182"/>
      <c r="X714" s="182"/>
      <c r="Y714" s="182"/>
    </row>
    <row r="715" spans="1:25" ht="15.75" hidden="1" customHeight="1" x14ac:dyDescent="0.2">
      <c r="A715" s="182"/>
      <c r="B715" s="175"/>
      <c r="C715" s="176"/>
      <c r="D715" s="176"/>
      <c r="E715" s="176"/>
      <c r="F715" s="123"/>
      <c r="G715" s="123"/>
      <c r="H715" s="123"/>
      <c r="I715" s="123"/>
      <c r="J715" s="174"/>
      <c r="K715" s="182"/>
      <c r="L715" s="182"/>
      <c r="M715" s="182"/>
      <c r="N715" s="182"/>
      <c r="O715" s="182"/>
      <c r="P715" s="182"/>
      <c r="Q715" s="182"/>
      <c r="R715" s="182"/>
      <c r="S715" s="182"/>
      <c r="T715" s="182"/>
      <c r="U715" s="182"/>
      <c r="V715" s="182"/>
      <c r="W715" s="182"/>
      <c r="X715" s="182"/>
      <c r="Y715" s="182"/>
    </row>
    <row r="716" spans="1:25" ht="15.75" hidden="1" customHeight="1" x14ac:dyDescent="0.2">
      <c r="A716" s="182"/>
      <c r="B716" s="175"/>
      <c r="C716" s="176"/>
      <c r="D716" s="176"/>
      <c r="E716" s="176"/>
      <c r="F716" s="123"/>
      <c r="G716" s="123"/>
      <c r="H716" s="123"/>
      <c r="I716" s="123"/>
      <c r="J716" s="174"/>
      <c r="K716" s="182"/>
      <c r="L716" s="182"/>
      <c r="M716" s="182"/>
      <c r="N716" s="182"/>
      <c r="O716" s="182"/>
      <c r="P716" s="182"/>
      <c r="Q716" s="182"/>
      <c r="R716" s="182"/>
      <c r="S716" s="182"/>
      <c r="T716" s="182"/>
      <c r="U716" s="182"/>
      <c r="V716" s="182"/>
      <c r="W716" s="182"/>
      <c r="X716" s="182"/>
      <c r="Y716" s="182"/>
    </row>
    <row r="717" spans="1:25" ht="15.75" hidden="1" customHeight="1" x14ac:dyDescent="0.2">
      <c r="A717" s="182"/>
      <c r="B717" s="175"/>
      <c r="C717" s="176"/>
      <c r="D717" s="176"/>
      <c r="E717" s="176"/>
      <c r="F717" s="123"/>
      <c r="G717" s="123"/>
      <c r="H717" s="123"/>
      <c r="I717" s="123"/>
      <c r="J717" s="174"/>
      <c r="K717" s="182"/>
      <c r="L717" s="182"/>
      <c r="M717" s="182"/>
      <c r="N717" s="182"/>
      <c r="O717" s="182"/>
      <c r="P717" s="182"/>
      <c r="Q717" s="182"/>
      <c r="R717" s="182"/>
      <c r="S717" s="182"/>
      <c r="T717" s="182"/>
      <c r="U717" s="182"/>
      <c r="V717" s="182"/>
      <c r="W717" s="182"/>
      <c r="X717" s="182"/>
      <c r="Y717" s="182"/>
    </row>
    <row r="718" spans="1:25" ht="15.75" hidden="1" customHeight="1" x14ac:dyDescent="0.2">
      <c r="A718" s="182"/>
      <c r="B718" s="175"/>
      <c r="C718" s="176"/>
      <c r="D718" s="176"/>
      <c r="E718" s="176"/>
      <c r="F718" s="123"/>
      <c r="G718" s="123"/>
      <c r="H718" s="123"/>
      <c r="I718" s="123"/>
      <c r="J718" s="174"/>
      <c r="K718" s="182"/>
      <c r="L718" s="182"/>
      <c r="M718" s="182"/>
      <c r="N718" s="182"/>
      <c r="O718" s="182"/>
      <c r="P718" s="182"/>
      <c r="Q718" s="182"/>
      <c r="R718" s="182"/>
      <c r="S718" s="182"/>
      <c r="T718" s="182"/>
      <c r="U718" s="182"/>
      <c r="V718" s="182"/>
      <c r="W718" s="182"/>
      <c r="X718" s="182"/>
      <c r="Y718" s="182"/>
    </row>
    <row r="719" spans="1:25" ht="15.75" hidden="1" customHeight="1" x14ac:dyDescent="0.2">
      <c r="A719" s="182"/>
      <c r="B719" s="175"/>
      <c r="C719" s="176"/>
      <c r="D719" s="176"/>
      <c r="E719" s="176"/>
      <c r="F719" s="123"/>
      <c r="G719" s="123"/>
      <c r="H719" s="123"/>
      <c r="I719" s="123"/>
      <c r="J719" s="174"/>
      <c r="K719" s="182"/>
      <c r="L719" s="182"/>
      <c r="M719" s="182"/>
      <c r="N719" s="182"/>
      <c r="O719" s="182"/>
      <c r="P719" s="182"/>
      <c r="Q719" s="182"/>
      <c r="R719" s="182"/>
      <c r="S719" s="182"/>
      <c r="T719" s="182"/>
      <c r="U719" s="182"/>
      <c r="V719" s="182"/>
      <c r="W719" s="182"/>
      <c r="X719" s="182"/>
      <c r="Y719" s="182"/>
    </row>
    <row r="720" spans="1:25" ht="15.75" hidden="1" customHeight="1" x14ac:dyDescent="0.2">
      <c r="A720" s="182"/>
      <c r="B720" s="175"/>
      <c r="C720" s="176"/>
      <c r="D720" s="176"/>
      <c r="E720" s="176"/>
      <c r="F720" s="123"/>
      <c r="G720" s="123"/>
      <c r="H720" s="123"/>
      <c r="I720" s="123"/>
      <c r="J720" s="174"/>
      <c r="K720" s="182"/>
      <c r="L720" s="182"/>
      <c r="M720" s="182"/>
      <c r="N720" s="182"/>
      <c r="O720" s="182"/>
      <c r="P720" s="182"/>
      <c r="Q720" s="182"/>
      <c r="R720" s="182"/>
      <c r="S720" s="182"/>
      <c r="T720" s="182"/>
      <c r="U720" s="182"/>
      <c r="V720" s="182"/>
      <c r="W720" s="182"/>
      <c r="X720" s="182"/>
      <c r="Y720" s="182"/>
    </row>
    <row r="721" spans="1:25" ht="15.75" hidden="1" customHeight="1" x14ac:dyDescent="0.2">
      <c r="A721" s="182"/>
      <c r="B721" s="175"/>
      <c r="C721" s="176"/>
      <c r="D721" s="176"/>
      <c r="E721" s="176"/>
      <c r="F721" s="123"/>
      <c r="G721" s="123"/>
      <c r="H721" s="123"/>
      <c r="I721" s="123"/>
      <c r="J721" s="174"/>
      <c r="K721" s="182"/>
      <c r="L721" s="182"/>
      <c r="M721" s="182"/>
      <c r="N721" s="182"/>
      <c r="O721" s="182"/>
      <c r="P721" s="182"/>
      <c r="Q721" s="182"/>
      <c r="R721" s="182"/>
      <c r="S721" s="182"/>
      <c r="T721" s="182"/>
      <c r="U721" s="182"/>
      <c r="V721" s="182"/>
      <c r="W721" s="182"/>
      <c r="X721" s="182"/>
      <c r="Y721" s="182"/>
    </row>
    <row r="722" spans="1:25" ht="15.75" hidden="1" customHeight="1" x14ac:dyDescent="0.2">
      <c r="A722" s="182"/>
      <c r="B722" s="175"/>
      <c r="C722" s="176"/>
      <c r="D722" s="176"/>
      <c r="E722" s="176"/>
      <c r="F722" s="123"/>
      <c r="G722" s="123"/>
      <c r="H722" s="123"/>
      <c r="I722" s="123"/>
      <c r="J722" s="174"/>
      <c r="K722" s="182"/>
      <c r="L722" s="182"/>
      <c r="M722" s="182"/>
      <c r="N722" s="182"/>
      <c r="O722" s="182"/>
      <c r="P722" s="182"/>
      <c r="Q722" s="182"/>
      <c r="R722" s="182"/>
      <c r="S722" s="182"/>
      <c r="T722" s="182"/>
      <c r="U722" s="182"/>
      <c r="V722" s="182"/>
      <c r="W722" s="182"/>
      <c r="X722" s="182"/>
      <c r="Y722" s="182"/>
    </row>
    <row r="723" spans="1:25" ht="15.75" hidden="1" customHeight="1" x14ac:dyDescent="0.2">
      <c r="A723" s="182"/>
      <c r="B723" s="175"/>
      <c r="C723" s="176"/>
      <c r="D723" s="176"/>
      <c r="E723" s="176"/>
      <c r="F723" s="123"/>
      <c r="G723" s="123"/>
      <c r="H723" s="123"/>
      <c r="I723" s="123"/>
      <c r="J723" s="174"/>
      <c r="K723" s="182"/>
      <c r="L723" s="182"/>
      <c r="M723" s="182"/>
      <c r="N723" s="182"/>
      <c r="O723" s="182"/>
      <c r="P723" s="182"/>
      <c r="Q723" s="182"/>
      <c r="R723" s="182"/>
      <c r="S723" s="182"/>
      <c r="T723" s="182"/>
      <c r="U723" s="182"/>
      <c r="V723" s="182"/>
      <c r="W723" s="182"/>
      <c r="X723" s="182"/>
      <c r="Y723" s="182"/>
    </row>
    <row r="724" spans="1:25" ht="15.75" hidden="1" customHeight="1" x14ac:dyDescent="0.2">
      <c r="A724" s="182"/>
      <c r="B724" s="175"/>
      <c r="C724" s="176"/>
      <c r="D724" s="176"/>
      <c r="E724" s="176"/>
      <c r="F724" s="123"/>
      <c r="G724" s="123"/>
      <c r="H724" s="123"/>
      <c r="I724" s="123"/>
      <c r="J724" s="174"/>
      <c r="K724" s="182"/>
      <c r="L724" s="182"/>
      <c r="M724" s="182"/>
      <c r="N724" s="182"/>
      <c r="O724" s="182"/>
      <c r="P724" s="182"/>
      <c r="Q724" s="182"/>
      <c r="R724" s="182"/>
      <c r="S724" s="182"/>
      <c r="T724" s="182"/>
      <c r="U724" s="182"/>
      <c r="V724" s="182"/>
      <c r="W724" s="182"/>
      <c r="X724" s="182"/>
      <c r="Y724" s="182"/>
    </row>
    <row r="725" spans="1:25" ht="15.75" hidden="1" customHeight="1" x14ac:dyDescent="0.2">
      <c r="A725" s="182"/>
      <c r="B725" s="175"/>
      <c r="C725" s="176"/>
      <c r="D725" s="176"/>
      <c r="E725" s="176"/>
      <c r="F725" s="123"/>
      <c r="G725" s="123"/>
      <c r="H725" s="123"/>
      <c r="I725" s="123"/>
      <c r="J725" s="174"/>
      <c r="K725" s="182"/>
      <c r="L725" s="182"/>
      <c r="M725" s="182"/>
      <c r="N725" s="182"/>
      <c r="O725" s="182"/>
      <c r="P725" s="182"/>
      <c r="Q725" s="182"/>
      <c r="R725" s="182"/>
      <c r="S725" s="182"/>
      <c r="T725" s="182"/>
      <c r="U725" s="182"/>
      <c r="V725" s="182"/>
      <c r="W725" s="182"/>
      <c r="X725" s="182"/>
      <c r="Y725" s="182"/>
    </row>
    <row r="726" spans="1:25" ht="15.75" hidden="1" customHeight="1" x14ac:dyDescent="0.2">
      <c r="A726" s="182"/>
      <c r="B726" s="175"/>
      <c r="C726" s="176"/>
      <c r="D726" s="176"/>
      <c r="E726" s="176"/>
      <c r="F726" s="123"/>
      <c r="G726" s="123"/>
      <c r="H726" s="123"/>
      <c r="I726" s="123"/>
      <c r="J726" s="174"/>
      <c r="K726" s="182"/>
      <c r="L726" s="182"/>
      <c r="M726" s="182"/>
      <c r="N726" s="182"/>
      <c r="O726" s="182"/>
      <c r="P726" s="182"/>
      <c r="Q726" s="182"/>
      <c r="R726" s="182"/>
      <c r="S726" s="182"/>
      <c r="T726" s="182"/>
      <c r="U726" s="182"/>
      <c r="V726" s="182"/>
      <c r="W726" s="182"/>
      <c r="X726" s="182"/>
      <c r="Y726" s="182"/>
    </row>
    <row r="727" spans="1:25" ht="15.75" hidden="1" customHeight="1" x14ac:dyDescent="0.2">
      <c r="A727" s="182"/>
      <c r="B727" s="175"/>
      <c r="C727" s="176"/>
      <c r="D727" s="176"/>
      <c r="E727" s="176"/>
      <c r="F727" s="123"/>
      <c r="G727" s="123"/>
      <c r="H727" s="123"/>
      <c r="I727" s="123"/>
      <c r="J727" s="174"/>
      <c r="K727" s="182"/>
      <c r="L727" s="182"/>
      <c r="M727" s="182"/>
      <c r="N727" s="182"/>
      <c r="O727" s="182"/>
      <c r="P727" s="182"/>
      <c r="Q727" s="182"/>
      <c r="R727" s="182"/>
      <c r="S727" s="182"/>
      <c r="T727" s="182"/>
      <c r="U727" s="182"/>
      <c r="V727" s="182"/>
      <c r="W727" s="182"/>
      <c r="X727" s="182"/>
      <c r="Y727" s="182"/>
    </row>
    <row r="728" spans="1:25" ht="15.75" hidden="1" customHeight="1" x14ac:dyDescent="0.2">
      <c r="A728" s="182"/>
      <c r="B728" s="175"/>
      <c r="C728" s="176"/>
      <c r="D728" s="176"/>
      <c r="E728" s="176"/>
      <c r="F728" s="123"/>
      <c r="G728" s="123"/>
      <c r="H728" s="123"/>
      <c r="I728" s="123"/>
      <c r="J728" s="174"/>
      <c r="K728" s="182"/>
      <c r="L728" s="182"/>
      <c r="M728" s="182"/>
      <c r="N728" s="182"/>
      <c r="O728" s="182"/>
      <c r="P728" s="182"/>
      <c r="Q728" s="182"/>
      <c r="R728" s="182"/>
      <c r="S728" s="182"/>
      <c r="T728" s="182"/>
      <c r="U728" s="182"/>
      <c r="V728" s="182"/>
      <c r="W728" s="182"/>
      <c r="X728" s="182"/>
      <c r="Y728" s="182"/>
    </row>
    <row r="729" spans="1:25" ht="15.75" hidden="1" customHeight="1" x14ac:dyDescent="0.2">
      <c r="A729" s="182"/>
      <c r="B729" s="175"/>
      <c r="C729" s="176"/>
      <c r="D729" s="176"/>
      <c r="E729" s="176"/>
      <c r="F729" s="123"/>
      <c r="G729" s="123"/>
      <c r="H729" s="123"/>
      <c r="I729" s="123"/>
      <c r="J729" s="174"/>
      <c r="K729" s="182"/>
      <c r="L729" s="182"/>
      <c r="M729" s="182"/>
      <c r="N729" s="182"/>
      <c r="O729" s="182"/>
      <c r="P729" s="182"/>
      <c r="Q729" s="182"/>
      <c r="R729" s="182"/>
      <c r="S729" s="182"/>
      <c r="T729" s="182"/>
      <c r="U729" s="182"/>
      <c r="V729" s="182"/>
      <c r="W729" s="182"/>
      <c r="X729" s="182"/>
      <c r="Y729" s="182"/>
    </row>
    <row r="730" spans="1:25" ht="15.75" hidden="1" customHeight="1" x14ac:dyDescent="0.2">
      <c r="A730" s="182"/>
      <c r="B730" s="175"/>
      <c r="C730" s="176"/>
      <c r="D730" s="176"/>
      <c r="E730" s="176"/>
      <c r="F730" s="123"/>
      <c r="G730" s="123"/>
      <c r="H730" s="123"/>
      <c r="I730" s="123"/>
      <c r="J730" s="174"/>
      <c r="K730" s="182"/>
      <c r="L730" s="182"/>
      <c r="M730" s="182"/>
      <c r="N730" s="182"/>
      <c r="O730" s="182"/>
      <c r="P730" s="182"/>
      <c r="Q730" s="182"/>
      <c r="R730" s="182"/>
      <c r="S730" s="182"/>
      <c r="T730" s="182"/>
      <c r="U730" s="182"/>
      <c r="V730" s="182"/>
      <c r="W730" s="182"/>
      <c r="X730" s="182"/>
      <c r="Y730" s="182"/>
    </row>
    <row r="731" spans="1:25" ht="15.75" hidden="1" customHeight="1" x14ac:dyDescent="0.2">
      <c r="A731" s="182"/>
      <c r="B731" s="175"/>
      <c r="C731" s="176"/>
      <c r="D731" s="176"/>
      <c r="E731" s="176"/>
      <c r="F731" s="123"/>
      <c r="G731" s="123"/>
      <c r="H731" s="123"/>
      <c r="I731" s="123"/>
      <c r="J731" s="174"/>
      <c r="K731" s="182"/>
      <c r="L731" s="182"/>
      <c r="M731" s="182"/>
      <c r="N731" s="182"/>
      <c r="O731" s="182"/>
      <c r="P731" s="182"/>
      <c r="Q731" s="182"/>
      <c r="R731" s="182"/>
      <c r="S731" s="182"/>
      <c r="T731" s="182"/>
      <c r="U731" s="182"/>
      <c r="V731" s="182"/>
      <c r="W731" s="182"/>
      <c r="X731" s="182"/>
      <c r="Y731" s="182"/>
    </row>
    <row r="732" spans="1:25" ht="15.75" hidden="1" customHeight="1" x14ac:dyDescent="0.2">
      <c r="A732" s="182"/>
      <c r="B732" s="175"/>
      <c r="C732" s="176"/>
      <c r="D732" s="176"/>
      <c r="E732" s="176"/>
      <c r="F732" s="123"/>
      <c r="G732" s="123"/>
      <c r="H732" s="123"/>
      <c r="I732" s="123"/>
      <c r="J732" s="174"/>
      <c r="K732" s="182"/>
      <c r="L732" s="182"/>
      <c r="M732" s="182"/>
      <c r="N732" s="182"/>
      <c r="O732" s="182"/>
      <c r="P732" s="182"/>
      <c r="Q732" s="182"/>
      <c r="R732" s="182"/>
      <c r="S732" s="182"/>
      <c r="T732" s="182"/>
      <c r="U732" s="182"/>
      <c r="V732" s="182"/>
      <c r="W732" s="182"/>
      <c r="X732" s="182"/>
      <c r="Y732" s="182"/>
    </row>
    <row r="733" spans="1:25" ht="15.75" hidden="1" customHeight="1" x14ac:dyDescent="0.2">
      <c r="A733" s="182"/>
      <c r="B733" s="175"/>
      <c r="C733" s="176"/>
      <c r="D733" s="176"/>
      <c r="E733" s="176"/>
      <c r="F733" s="123"/>
      <c r="G733" s="123"/>
      <c r="H733" s="123"/>
      <c r="I733" s="123"/>
      <c r="J733" s="174"/>
      <c r="K733" s="182"/>
      <c r="L733" s="182"/>
      <c r="M733" s="182"/>
      <c r="N733" s="182"/>
      <c r="O733" s="182"/>
      <c r="P733" s="182"/>
      <c r="Q733" s="182"/>
      <c r="R733" s="182"/>
      <c r="S733" s="182"/>
      <c r="T733" s="182"/>
      <c r="U733" s="182"/>
      <c r="V733" s="182"/>
      <c r="W733" s="182"/>
      <c r="X733" s="182"/>
      <c r="Y733" s="182"/>
    </row>
    <row r="734" spans="1:25" ht="15.75" hidden="1" customHeight="1" x14ac:dyDescent="0.2">
      <c r="A734" s="182"/>
      <c r="B734" s="175"/>
      <c r="C734" s="176"/>
      <c r="D734" s="176"/>
      <c r="E734" s="176"/>
      <c r="F734" s="123"/>
      <c r="G734" s="123"/>
      <c r="H734" s="123"/>
      <c r="I734" s="123"/>
      <c r="J734" s="174"/>
      <c r="K734" s="182"/>
      <c r="L734" s="182"/>
      <c r="M734" s="182"/>
      <c r="N734" s="182"/>
      <c r="O734" s="182"/>
      <c r="P734" s="182"/>
      <c r="Q734" s="182"/>
      <c r="R734" s="182"/>
      <c r="S734" s="182"/>
      <c r="T734" s="182"/>
      <c r="U734" s="182"/>
      <c r="V734" s="182"/>
      <c r="W734" s="182"/>
      <c r="X734" s="182"/>
      <c r="Y734" s="182"/>
    </row>
    <row r="735" spans="1:25" ht="15.75" hidden="1" customHeight="1" x14ac:dyDescent="0.2">
      <c r="A735" s="182"/>
      <c r="B735" s="175"/>
      <c r="C735" s="176"/>
      <c r="D735" s="176"/>
      <c r="E735" s="176"/>
      <c r="F735" s="123"/>
      <c r="G735" s="123"/>
      <c r="H735" s="123"/>
      <c r="I735" s="123"/>
      <c r="J735" s="174"/>
      <c r="K735" s="182"/>
      <c r="L735" s="182"/>
      <c r="M735" s="182"/>
      <c r="N735" s="182"/>
      <c r="O735" s="182"/>
      <c r="P735" s="182"/>
      <c r="Q735" s="182"/>
      <c r="R735" s="182"/>
      <c r="S735" s="182"/>
      <c r="T735" s="182"/>
      <c r="U735" s="182"/>
      <c r="V735" s="182"/>
      <c r="W735" s="182"/>
      <c r="X735" s="182"/>
      <c r="Y735" s="182"/>
    </row>
    <row r="736" spans="1:25" ht="15.75" hidden="1" customHeight="1" x14ac:dyDescent="0.2">
      <c r="A736" s="182"/>
      <c r="B736" s="175"/>
      <c r="C736" s="176"/>
      <c r="D736" s="176"/>
      <c r="E736" s="176"/>
      <c r="F736" s="123"/>
      <c r="G736" s="123"/>
      <c r="H736" s="123"/>
      <c r="I736" s="123"/>
      <c r="J736" s="174"/>
      <c r="K736" s="182"/>
      <c r="L736" s="182"/>
      <c r="M736" s="182"/>
      <c r="N736" s="182"/>
      <c r="O736" s="182"/>
      <c r="P736" s="182"/>
      <c r="Q736" s="182"/>
      <c r="R736" s="182"/>
      <c r="S736" s="182"/>
      <c r="T736" s="182"/>
      <c r="U736" s="182"/>
      <c r="V736" s="182"/>
      <c r="W736" s="182"/>
      <c r="X736" s="182"/>
      <c r="Y736" s="182"/>
    </row>
    <row r="737" spans="1:25" ht="15.75" hidden="1" customHeight="1" x14ac:dyDescent="0.2">
      <c r="A737" s="182"/>
      <c r="B737" s="175"/>
      <c r="C737" s="176"/>
      <c r="D737" s="176"/>
      <c r="E737" s="176"/>
      <c r="F737" s="123"/>
      <c r="G737" s="123"/>
      <c r="H737" s="123"/>
      <c r="I737" s="123"/>
      <c r="J737" s="174"/>
      <c r="K737" s="182"/>
      <c r="L737" s="182"/>
      <c r="M737" s="182"/>
      <c r="N737" s="182"/>
      <c r="O737" s="182"/>
      <c r="P737" s="182"/>
      <c r="Q737" s="182"/>
      <c r="R737" s="182"/>
      <c r="S737" s="182"/>
      <c r="T737" s="182"/>
      <c r="U737" s="182"/>
      <c r="V737" s="182"/>
      <c r="W737" s="182"/>
      <c r="X737" s="182"/>
      <c r="Y737" s="182"/>
    </row>
    <row r="738" spans="1:25" ht="15.75" hidden="1" customHeight="1" x14ac:dyDescent="0.2">
      <c r="A738" s="182"/>
      <c r="B738" s="175"/>
      <c r="C738" s="176"/>
      <c r="D738" s="176"/>
      <c r="E738" s="176"/>
      <c r="F738" s="123"/>
      <c r="G738" s="123"/>
      <c r="H738" s="123"/>
      <c r="I738" s="123"/>
      <c r="J738" s="174"/>
      <c r="K738" s="182"/>
      <c r="L738" s="182"/>
      <c r="M738" s="182"/>
      <c r="N738" s="182"/>
      <c r="O738" s="182"/>
      <c r="P738" s="182"/>
      <c r="Q738" s="182"/>
      <c r="R738" s="182"/>
      <c r="S738" s="182"/>
      <c r="T738" s="182"/>
      <c r="U738" s="182"/>
      <c r="V738" s="182"/>
      <c r="W738" s="182"/>
      <c r="X738" s="182"/>
      <c r="Y738" s="182"/>
    </row>
    <row r="739" spans="1:25" ht="15.75" hidden="1" customHeight="1" x14ac:dyDescent="0.2">
      <c r="A739" s="182"/>
      <c r="B739" s="175"/>
      <c r="C739" s="176"/>
      <c r="D739" s="176"/>
      <c r="E739" s="176"/>
      <c r="F739" s="123"/>
      <c r="G739" s="123"/>
      <c r="H739" s="123"/>
      <c r="I739" s="123"/>
      <c r="J739" s="174"/>
      <c r="K739" s="182"/>
      <c r="L739" s="182"/>
      <c r="M739" s="182"/>
      <c r="N739" s="182"/>
      <c r="O739" s="182"/>
      <c r="P739" s="182"/>
      <c r="Q739" s="182"/>
      <c r="R739" s="182"/>
      <c r="S739" s="182"/>
      <c r="T739" s="182"/>
      <c r="U739" s="182"/>
      <c r="V739" s="182"/>
      <c r="W739" s="182"/>
      <c r="X739" s="182"/>
      <c r="Y739" s="182"/>
    </row>
    <row r="740" spans="1:25" ht="15.75" hidden="1" customHeight="1" x14ac:dyDescent="0.2">
      <c r="A740" s="182"/>
      <c r="B740" s="175"/>
      <c r="C740" s="176"/>
      <c r="D740" s="176"/>
      <c r="E740" s="176"/>
      <c r="F740" s="123"/>
      <c r="G740" s="123"/>
      <c r="H740" s="123"/>
      <c r="I740" s="123"/>
      <c r="J740" s="174"/>
      <c r="K740" s="182"/>
      <c r="L740" s="182"/>
      <c r="M740" s="182"/>
      <c r="N740" s="182"/>
      <c r="O740" s="182"/>
      <c r="P740" s="182"/>
      <c r="Q740" s="182"/>
      <c r="R740" s="182"/>
      <c r="S740" s="182"/>
      <c r="T740" s="182"/>
      <c r="U740" s="182"/>
      <c r="V740" s="182"/>
      <c r="W740" s="182"/>
      <c r="X740" s="182"/>
      <c r="Y740" s="182"/>
    </row>
    <row r="741" spans="1:25" ht="15.75" hidden="1" customHeight="1" x14ac:dyDescent="0.2">
      <c r="A741" s="182"/>
      <c r="B741" s="175"/>
      <c r="C741" s="176"/>
      <c r="D741" s="176"/>
      <c r="E741" s="176"/>
      <c r="F741" s="123"/>
      <c r="G741" s="123"/>
      <c r="H741" s="123"/>
      <c r="I741" s="123"/>
      <c r="J741" s="174"/>
      <c r="K741" s="182"/>
      <c r="L741" s="182"/>
      <c r="M741" s="182"/>
      <c r="N741" s="182"/>
      <c r="O741" s="182"/>
      <c r="P741" s="182"/>
      <c r="Q741" s="182"/>
      <c r="R741" s="182"/>
      <c r="S741" s="182"/>
      <c r="T741" s="182"/>
      <c r="U741" s="182"/>
      <c r="V741" s="182"/>
      <c r="W741" s="182"/>
      <c r="X741" s="182"/>
      <c r="Y741" s="182"/>
    </row>
    <row r="742" spans="1:25" ht="15.75" hidden="1" customHeight="1" x14ac:dyDescent="0.2">
      <c r="A742" s="182"/>
      <c r="B742" s="175"/>
      <c r="C742" s="176"/>
      <c r="D742" s="176"/>
      <c r="E742" s="176"/>
      <c r="F742" s="123"/>
      <c r="G742" s="123"/>
      <c r="H742" s="123"/>
      <c r="I742" s="123"/>
      <c r="J742" s="174"/>
      <c r="K742" s="182"/>
      <c r="L742" s="182"/>
      <c r="M742" s="182"/>
      <c r="N742" s="182"/>
      <c r="O742" s="182"/>
      <c r="P742" s="182"/>
      <c r="Q742" s="182"/>
      <c r="R742" s="182"/>
      <c r="S742" s="182"/>
      <c r="T742" s="182"/>
      <c r="U742" s="182"/>
      <c r="V742" s="182"/>
      <c r="W742" s="182"/>
      <c r="X742" s="182"/>
      <c r="Y742" s="182"/>
    </row>
    <row r="743" spans="1:25" ht="15.75" hidden="1" customHeight="1" x14ac:dyDescent="0.2">
      <c r="A743" s="182"/>
      <c r="B743" s="175"/>
      <c r="C743" s="176"/>
      <c r="D743" s="176"/>
      <c r="E743" s="176"/>
      <c r="F743" s="123"/>
      <c r="G743" s="123"/>
      <c r="H743" s="123"/>
      <c r="I743" s="123"/>
      <c r="J743" s="174"/>
      <c r="K743" s="182"/>
      <c r="L743" s="182"/>
      <c r="M743" s="182"/>
      <c r="N743" s="182"/>
      <c r="O743" s="182"/>
      <c r="P743" s="182"/>
      <c r="Q743" s="182"/>
      <c r="R743" s="182"/>
      <c r="S743" s="182"/>
      <c r="T743" s="182"/>
      <c r="U743" s="182"/>
      <c r="V743" s="182"/>
      <c r="W743" s="182"/>
      <c r="X743" s="182"/>
      <c r="Y743" s="182"/>
    </row>
    <row r="744" spans="1:25" ht="15.75" hidden="1" customHeight="1" x14ac:dyDescent="0.2">
      <c r="A744" s="182"/>
      <c r="B744" s="175"/>
      <c r="C744" s="176"/>
      <c r="D744" s="176"/>
      <c r="E744" s="176"/>
      <c r="F744" s="123"/>
      <c r="G744" s="123"/>
      <c r="H744" s="123"/>
      <c r="I744" s="123"/>
      <c r="J744" s="174"/>
      <c r="K744" s="182"/>
      <c r="L744" s="182"/>
      <c r="M744" s="182"/>
      <c r="N744" s="182"/>
      <c r="O744" s="182"/>
      <c r="P744" s="182"/>
      <c r="Q744" s="182"/>
      <c r="R744" s="182"/>
      <c r="S744" s="182"/>
      <c r="T744" s="182"/>
      <c r="U744" s="182"/>
      <c r="V744" s="182"/>
      <c r="W744" s="182"/>
      <c r="X744" s="182"/>
      <c r="Y744" s="182"/>
    </row>
    <row r="745" spans="1:25" ht="15.75" hidden="1" customHeight="1" x14ac:dyDescent="0.2">
      <c r="A745" s="182"/>
      <c r="B745" s="175"/>
      <c r="C745" s="176"/>
      <c r="D745" s="176"/>
      <c r="E745" s="176"/>
      <c r="F745" s="123"/>
      <c r="G745" s="123"/>
      <c r="H745" s="123"/>
      <c r="I745" s="123"/>
      <c r="J745" s="174"/>
      <c r="K745" s="182"/>
      <c r="L745" s="182"/>
      <c r="M745" s="182"/>
      <c r="N745" s="182"/>
      <c r="O745" s="182"/>
      <c r="P745" s="182"/>
      <c r="Q745" s="182"/>
      <c r="R745" s="182"/>
      <c r="S745" s="182"/>
      <c r="T745" s="182"/>
      <c r="U745" s="182"/>
      <c r="V745" s="182"/>
      <c r="W745" s="182"/>
      <c r="X745" s="182"/>
      <c r="Y745" s="182"/>
    </row>
    <row r="746" spans="1:25" ht="15.75" hidden="1" customHeight="1" x14ac:dyDescent="0.2">
      <c r="A746" s="182"/>
      <c r="B746" s="175"/>
      <c r="C746" s="176"/>
      <c r="D746" s="176"/>
      <c r="E746" s="176"/>
      <c r="F746" s="123"/>
      <c r="G746" s="123"/>
      <c r="H746" s="123"/>
      <c r="I746" s="123"/>
      <c r="J746" s="174"/>
      <c r="K746" s="182"/>
      <c r="L746" s="182"/>
      <c r="M746" s="182"/>
      <c r="N746" s="182"/>
      <c r="O746" s="182"/>
      <c r="P746" s="182"/>
      <c r="Q746" s="182"/>
      <c r="R746" s="182"/>
      <c r="S746" s="182"/>
      <c r="T746" s="182"/>
      <c r="U746" s="182"/>
      <c r="V746" s="182"/>
      <c r="W746" s="182"/>
      <c r="X746" s="182"/>
      <c r="Y746" s="182"/>
    </row>
    <row r="747" spans="1:25" ht="15.75" hidden="1" customHeight="1" x14ac:dyDescent="0.2">
      <c r="A747" s="182"/>
      <c r="B747" s="175"/>
      <c r="C747" s="176"/>
      <c r="D747" s="176"/>
      <c r="E747" s="176"/>
      <c r="F747" s="123"/>
      <c r="G747" s="123"/>
      <c r="H747" s="123"/>
      <c r="I747" s="123"/>
      <c r="J747" s="174"/>
      <c r="K747" s="182"/>
      <c r="L747" s="182"/>
      <c r="M747" s="182"/>
      <c r="N747" s="182"/>
      <c r="O747" s="182"/>
      <c r="P747" s="182"/>
      <c r="Q747" s="182"/>
      <c r="R747" s="182"/>
      <c r="S747" s="182"/>
      <c r="T747" s="182"/>
      <c r="U747" s="182"/>
      <c r="V747" s="182"/>
      <c r="W747" s="182"/>
      <c r="X747" s="182"/>
      <c r="Y747" s="182"/>
    </row>
    <row r="748" spans="1:25" ht="15.75" hidden="1" customHeight="1" x14ac:dyDescent="0.2">
      <c r="A748" s="182"/>
      <c r="B748" s="175"/>
      <c r="C748" s="176"/>
      <c r="D748" s="176"/>
      <c r="E748" s="176"/>
      <c r="F748" s="123"/>
      <c r="G748" s="123"/>
      <c r="H748" s="123"/>
      <c r="I748" s="123"/>
      <c r="J748" s="174"/>
      <c r="K748" s="182"/>
      <c r="L748" s="182"/>
      <c r="M748" s="182"/>
      <c r="N748" s="182"/>
      <c r="O748" s="182"/>
      <c r="P748" s="182"/>
      <c r="Q748" s="182"/>
      <c r="R748" s="182"/>
      <c r="S748" s="182"/>
      <c r="T748" s="182"/>
      <c r="U748" s="182"/>
      <c r="V748" s="182"/>
      <c r="W748" s="182"/>
      <c r="X748" s="182"/>
      <c r="Y748" s="182"/>
    </row>
    <row r="749" spans="1:25" ht="15.75" hidden="1" customHeight="1" x14ac:dyDescent="0.2">
      <c r="A749" s="182"/>
      <c r="B749" s="175"/>
      <c r="C749" s="176"/>
      <c r="D749" s="176"/>
      <c r="E749" s="176"/>
      <c r="F749" s="123"/>
      <c r="G749" s="123"/>
      <c r="H749" s="123"/>
      <c r="I749" s="123"/>
      <c r="J749" s="174"/>
      <c r="K749" s="182"/>
      <c r="L749" s="182"/>
      <c r="M749" s="182"/>
      <c r="N749" s="182"/>
      <c r="O749" s="182"/>
      <c r="P749" s="182"/>
      <c r="Q749" s="182"/>
      <c r="R749" s="182"/>
      <c r="S749" s="182"/>
      <c r="T749" s="182"/>
      <c r="U749" s="182"/>
      <c r="V749" s="182"/>
      <c r="W749" s="182"/>
      <c r="X749" s="182"/>
      <c r="Y749" s="182"/>
    </row>
    <row r="750" spans="1:25" ht="15.75" hidden="1" customHeight="1" x14ac:dyDescent="0.2">
      <c r="A750" s="182"/>
      <c r="B750" s="175"/>
      <c r="C750" s="176"/>
      <c r="D750" s="176"/>
      <c r="E750" s="176"/>
      <c r="F750" s="123"/>
      <c r="G750" s="123"/>
      <c r="H750" s="123"/>
      <c r="I750" s="123"/>
      <c r="J750" s="174"/>
      <c r="K750" s="182"/>
      <c r="L750" s="182"/>
      <c r="M750" s="182"/>
      <c r="N750" s="182"/>
      <c r="O750" s="182"/>
      <c r="P750" s="182"/>
      <c r="Q750" s="182"/>
      <c r="R750" s="182"/>
      <c r="S750" s="182"/>
      <c r="T750" s="182"/>
      <c r="U750" s="182"/>
      <c r="V750" s="182"/>
      <c r="W750" s="182"/>
      <c r="X750" s="182"/>
      <c r="Y750" s="182"/>
    </row>
    <row r="751" spans="1:25" ht="15.75" hidden="1" customHeight="1" x14ac:dyDescent="0.2">
      <c r="A751" s="182"/>
      <c r="B751" s="175"/>
      <c r="C751" s="176"/>
      <c r="D751" s="176"/>
      <c r="E751" s="176"/>
      <c r="F751" s="123"/>
      <c r="G751" s="123"/>
      <c r="H751" s="123"/>
      <c r="I751" s="123"/>
      <c r="J751" s="174"/>
      <c r="K751" s="182"/>
      <c r="L751" s="182"/>
      <c r="M751" s="182"/>
      <c r="N751" s="182"/>
      <c r="O751" s="182"/>
      <c r="P751" s="182"/>
      <c r="Q751" s="182"/>
      <c r="R751" s="182"/>
      <c r="S751" s="182"/>
      <c r="T751" s="182"/>
      <c r="U751" s="182"/>
      <c r="V751" s="182"/>
      <c r="W751" s="182"/>
      <c r="X751" s="182"/>
      <c r="Y751" s="182"/>
    </row>
    <row r="752" spans="1:25" ht="15.75" hidden="1" customHeight="1" x14ac:dyDescent="0.2">
      <c r="A752" s="182"/>
      <c r="B752" s="175"/>
      <c r="C752" s="176"/>
      <c r="D752" s="176"/>
      <c r="E752" s="176"/>
      <c r="F752" s="123"/>
      <c r="G752" s="123"/>
      <c r="H752" s="123"/>
      <c r="I752" s="123"/>
      <c r="J752" s="174"/>
      <c r="K752" s="182"/>
      <c r="L752" s="182"/>
      <c r="M752" s="182"/>
      <c r="N752" s="182"/>
      <c r="O752" s="182"/>
      <c r="P752" s="182"/>
      <c r="Q752" s="182"/>
      <c r="R752" s="182"/>
      <c r="S752" s="182"/>
      <c r="T752" s="182"/>
      <c r="U752" s="182"/>
      <c r="V752" s="182"/>
      <c r="W752" s="182"/>
      <c r="X752" s="182"/>
      <c r="Y752" s="182"/>
    </row>
    <row r="753" spans="1:25" ht="15.75" hidden="1" customHeight="1" x14ac:dyDescent="0.2">
      <c r="A753" s="182"/>
      <c r="B753" s="175"/>
      <c r="C753" s="176"/>
      <c r="D753" s="176"/>
      <c r="E753" s="176"/>
      <c r="F753" s="123"/>
      <c r="G753" s="123"/>
      <c r="H753" s="123"/>
      <c r="I753" s="123"/>
      <c r="J753" s="174"/>
      <c r="K753" s="182"/>
      <c r="L753" s="182"/>
      <c r="M753" s="182"/>
      <c r="N753" s="182"/>
      <c r="O753" s="182"/>
      <c r="P753" s="182"/>
      <c r="Q753" s="182"/>
      <c r="R753" s="182"/>
      <c r="S753" s="182"/>
      <c r="T753" s="182"/>
      <c r="U753" s="182"/>
      <c r="V753" s="182"/>
      <c r="W753" s="182"/>
      <c r="X753" s="182"/>
      <c r="Y753" s="182"/>
    </row>
    <row r="754" spans="1:25" ht="15.75" hidden="1" customHeight="1" x14ac:dyDescent="0.2">
      <c r="A754" s="182"/>
      <c r="B754" s="175"/>
      <c r="C754" s="176"/>
      <c r="D754" s="176"/>
      <c r="E754" s="176"/>
      <c r="F754" s="123"/>
      <c r="G754" s="123"/>
      <c r="H754" s="123"/>
      <c r="I754" s="123"/>
      <c r="J754" s="174"/>
      <c r="K754" s="182"/>
      <c r="L754" s="182"/>
      <c r="M754" s="182"/>
      <c r="N754" s="182"/>
      <c r="O754" s="182"/>
      <c r="P754" s="182"/>
      <c r="Q754" s="182"/>
      <c r="R754" s="182"/>
      <c r="S754" s="182"/>
      <c r="T754" s="182"/>
      <c r="U754" s="182"/>
      <c r="V754" s="182"/>
      <c r="W754" s="182"/>
      <c r="X754" s="182"/>
      <c r="Y754" s="182"/>
    </row>
    <row r="755" spans="1:25" ht="15.75" hidden="1" customHeight="1" x14ac:dyDescent="0.2">
      <c r="A755" s="182"/>
      <c r="B755" s="175"/>
      <c r="C755" s="176"/>
      <c r="D755" s="176"/>
      <c r="E755" s="176"/>
      <c r="F755" s="123"/>
      <c r="G755" s="123"/>
      <c r="H755" s="123"/>
      <c r="I755" s="123"/>
      <c r="J755" s="174"/>
      <c r="K755" s="182"/>
      <c r="L755" s="182"/>
      <c r="M755" s="182"/>
      <c r="N755" s="182"/>
      <c r="O755" s="182"/>
      <c r="P755" s="182"/>
      <c r="Q755" s="182"/>
      <c r="R755" s="182"/>
      <c r="S755" s="182"/>
      <c r="T755" s="182"/>
      <c r="U755" s="182"/>
      <c r="V755" s="182"/>
      <c r="W755" s="182"/>
      <c r="X755" s="182"/>
      <c r="Y755" s="182"/>
    </row>
    <row r="756" spans="1:25" ht="15.75" hidden="1" customHeight="1" x14ac:dyDescent="0.2">
      <c r="A756" s="182"/>
      <c r="B756" s="175"/>
      <c r="C756" s="176"/>
      <c r="D756" s="176"/>
      <c r="E756" s="176"/>
      <c r="F756" s="123"/>
      <c r="G756" s="123"/>
      <c r="H756" s="123"/>
      <c r="I756" s="123"/>
      <c r="J756" s="174"/>
      <c r="K756" s="182"/>
      <c r="L756" s="182"/>
      <c r="M756" s="182"/>
      <c r="N756" s="182"/>
      <c r="O756" s="182"/>
      <c r="P756" s="182"/>
      <c r="Q756" s="182"/>
      <c r="R756" s="182"/>
      <c r="S756" s="182"/>
      <c r="T756" s="182"/>
      <c r="U756" s="182"/>
      <c r="V756" s="182"/>
      <c r="W756" s="182"/>
      <c r="X756" s="182"/>
      <c r="Y756" s="182"/>
    </row>
    <row r="757" spans="1:25" ht="15.75" hidden="1" customHeight="1" x14ac:dyDescent="0.2">
      <c r="A757" s="182"/>
      <c r="B757" s="175"/>
      <c r="C757" s="176"/>
      <c r="D757" s="176"/>
      <c r="E757" s="176"/>
      <c r="F757" s="123"/>
      <c r="G757" s="123"/>
      <c r="H757" s="123"/>
      <c r="I757" s="123"/>
      <c r="J757" s="174"/>
      <c r="K757" s="182"/>
      <c r="L757" s="182"/>
      <c r="M757" s="182"/>
      <c r="N757" s="182"/>
      <c r="O757" s="182"/>
      <c r="P757" s="182"/>
      <c r="Q757" s="182"/>
      <c r="R757" s="182"/>
      <c r="S757" s="182"/>
      <c r="T757" s="182"/>
      <c r="U757" s="182"/>
      <c r="V757" s="182"/>
      <c r="W757" s="182"/>
      <c r="X757" s="182"/>
      <c r="Y757" s="182"/>
    </row>
    <row r="758" spans="1:25" ht="15.75" hidden="1" customHeight="1" x14ac:dyDescent="0.2">
      <c r="A758" s="182"/>
      <c r="B758" s="175"/>
      <c r="C758" s="176"/>
      <c r="D758" s="176"/>
      <c r="E758" s="176"/>
      <c r="F758" s="123"/>
      <c r="G758" s="123"/>
      <c r="H758" s="123"/>
      <c r="I758" s="123"/>
      <c r="J758" s="174"/>
      <c r="K758" s="182"/>
      <c r="L758" s="182"/>
      <c r="M758" s="182"/>
      <c r="N758" s="182"/>
      <c r="O758" s="182"/>
      <c r="P758" s="182"/>
      <c r="Q758" s="182"/>
      <c r="R758" s="182"/>
      <c r="S758" s="182"/>
      <c r="T758" s="182"/>
      <c r="U758" s="182"/>
      <c r="V758" s="182"/>
      <c r="W758" s="182"/>
      <c r="X758" s="182"/>
      <c r="Y758" s="182"/>
    </row>
    <row r="759" spans="1:25" ht="15.75" hidden="1" customHeight="1" x14ac:dyDescent="0.2">
      <c r="A759" s="182"/>
      <c r="B759" s="175"/>
      <c r="C759" s="176"/>
      <c r="D759" s="176"/>
      <c r="E759" s="176"/>
      <c r="F759" s="123"/>
      <c r="G759" s="123"/>
      <c r="H759" s="123"/>
      <c r="I759" s="123"/>
      <c r="J759" s="174"/>
      <c r="K759" s="182"/>
      <c r="L759" s="182"/>
      <c r="M759" s="182"/>
      <c r="N759" s="182"/>
      <c r="O759" s="182"/>
      <c r="P759" s="182"/>
      <c r="Q759" s="182"/>
      <c r="R759" s="182"/>
      <c r="S759" s="182"/>
      <c r="T759" s="182"/>
      <c r="U759" s="182"/>
      <c r="V759" s="182"/>
      <c r="W759" s="182"/>
      <c r="X759" s="182"/>
      <c r="Y759" s="182"/>
    </row>
    <row r="760" spans="1:25" ht="15.75" hidden="1" customHeight="1" x14ac:dyDescent="0.2">
      <c r="A760" s="182"/>
      <c r="B760" s="175"/>
      <c r="C760" s="176"/>
      <c r="D760" s="176"/>
      <c r="E760" s="176"/>
      <c r="F760" s="123"/>
      <c r="G760" s="123"/>
      <c r="H760" s="123"/>
      <c r="I760" s="123"/>
      <c r="J760" s="174"/>
      <c r="K760" s="182"/>
      <c r="L760" s="182"/>
      <c r="M760" s="182"/>
      <c r="N760" s="182"/>
      <c r="O760" s="182"/>
      <c r="P760" s="182"/>
      <c r="Q760" s="182"/>
      <c r="R760" s="182"/>
      <c r="S760" s="182"/>
      <c r="T760" s="182"/>
      <c r="U760" s="182"/>
      <c r="V760" s="182"/>
      <c r="W760" s="182"/>
      <c r="X760" s="182"/>
      <c r="Y760" s="182"/>
    </row>
    <row r="761" spans="1:25" ht="15.75" hidden="1" customHeight="1" x14ac:dyDescent="0.2">
      <c r="A761" s="182"/>
      <c r="B761" s="175"/>
      <c r="C761" s="176"/>
      <c r="D761" s="176"/>
      <c r="E761" s="176"/>
      <c r="F761" s="123"/>
      <c r="G761" s="123"/>
      <c r="H761" s="123"/>
      <c r="I761" s="123"/>
      <c r="J761" s="174"/>
      <c r="K761" s="182"/>
      <c r="L761" s="182"/>
      <c r="M761" s="182"/>
      <c r="N761" s="182"/>
      <c r="O761" s="182"/>
      <c r="P761" s="182"/>
      <c r="Q761" s="182"/>
      <c r="R761" s="182"/>
      <c r="S761" s="182"/>
      <c r="T761" s="182"/>
      <c r="U761" s="182"/>
      <c r="V761" s="182"/>
      <c r="W761" s="182"/>
      <c r="X761" s="182"/>
      <c r="Y761" s="182"/>
    </row>
    <row r="762" spans="1:25" ht="15.75" hidden="1" customHeight="1" x14ac:dyDescent="0.2">
      <c r="A762" s="182"/>
      <c r="B762" s="175"/>
      <c r="C762" s="176"/>
      <c r="D762" s="176"/>
      <c r="E762" s="176"/>
      <c r="F762" s="123"/>
      <c r="G762" s="123"/>
      <c r="H762" s="123"/>
      <c r="I762" s="123"/>
      <c r="J762" s="174"/>
      <c r="K762" s="182"/>
      <c r="L762" s="182"/>
      <c r="M762" s="182"/>
      <c r="N762" s="182"/>
      <c r="O762" s="182"/>
      <c r="P762" s="182"/>
      <c r="Q762" s="182"/>
      <c r="R762" s="182"/>
      <c r="S762" s="182"/>
      <c r="T762" s="182"/>
      <c r="U762" s="182"/>
      <c r="V762" s="182"/>
      <c r="W762" s="182"/>
      <c r="X762" s="182"/>
      <c r="Y762" s="182"/>
    </row>
    <row r="763" spans="1:25" ht="15.75" hidden="1" customHeight="1" x14ac:dyDescent="0.2">
      <c r="A763" s="182"/>
      <c r="B763" s="175"/>
      <c r="C763" s="176"/>
      <c r="D763" s="176"/>
      <c r="E763" s="176"/>
      <c r="F763" s="123"/>
      <c r="G763" s="123"/>
      <c r="H763" s="123"/>
      <c r="I763" s="123"/>
      <c r="J763" s="174"/>
      <c r="K763" s="182"/>
      <c r="L763" s="182"/>
      <c r="M763" s="182"/>
      <c r="N763" s="182"/>
      <c r="O763" s="182"/>
      <c r="P763" s="182"/>
      <c r="Q763" s="182"/>
      <c r="R763" s="182"/>
      <c r="S763" s="182"/>
      <c r="T763" s="182"/>
      <c r="U763" s="182"/>
      <c r="V763" s="182"/>
      <c r="W763" s="182"/>
      <c r="X763" s="182"/>
      <c r="Y763" s="182"/>
    </row>
    <row r="764" spans="1:25" ht="15.75" hidden="1" customHeight="1" x14ac:dyDescent="0.2">
      <c r="A764" s="182"/>
      <c r="B764" s="175"/>
      <c r="C764" s="176"/>
      <c r="D764" s="176"/>
      <c r="E764" s="176"/>
      <c r="F764" s="123"/>
      <c r="G764" s="123"/>
      <c r="H764" s="123"/>
      <c r="I764" s="123"/>
      <c r="J764" s="174"/>
      <c r="K764" s="182"/>
      <c r="L764" s="182"/>
      <c r="M764" s="182"/>
      <c r="N764" s="182"/>
      <c r="O764" s="182"/>
      <c r="P764" s="182"/>
      <c r="Q764" s="182"/>
      <c r="R764" s="182"/>
      <c r="S764" s="182"/>
      <c r="T764" s="182"/>
      <c r="U764" s="182"/>
      <c r="V764" s="182"/>
      <c r="W764" s="182"/>
      <c r="X764" s="182"/>
      <c r="Y764" s="182"/>
    </row>
    <row r="765" spans="1:25" ht="15.75" hidden="1" customHeight="1" x14ac:dyDescent="0.2">
      <c r="A765" s="182"/>
      <c r="B765" s="175"/>
      <c r="C765" s="176"/>
      <c r="D765" s="176"/>
      <c r="E765" s="176"/>
      <c r="F765" s="123"/>
      <c r="G765" s="123"/>
      <c r="H765" s="123"/>
      <c r="I765" s="123"/>
      <c r="J765" s="174"/>
      <c r="K765" s="182"/>
      <c r="L765" s="182"/>
      <c r="M765" s="182"/>
      <c r="N765" s="182"/>
      <c r="O765" s="182"/>
      <c r="P765" s="182"/>
      <c r="Q765" s="182"/>
      <c r="R765" s="182"/>
      <c r="S765" s="182"/>
      <c r="T765" s="182"/>
      <c r="U765" s="182"/>
      <c r="V765" s="182"/>
      <c r="W765" s="182"/>
      <c r="X765" s="182"/>
      <c r="Y765" s="182"/>
    </row>
    <row r="766" spans="1:25" ht="15.75" hidden="1" customHeight="1" x14ac:dyDescent="0.2">
      <c r="A766" s="182"/>
      <c r="B766" s="175"/>
      <c r="C766" s="176"/>
      <c r="D766" s="176"/>
      <c r="E766" s="176"/>
      <c r="F766" s="123"/>
      <c r="G766" s="123"/>
      <c r="H766" s="123"/>
      <c r="I766" s="123"/>
      <c r="J766" s="174"/>
      <c r="K766" s="182"/>
      <c r="L766" s="182"/>
      <c r="M766" s="182"/>
      <c r="N766" s="182"/>
      <c r="O766" s="182"/>
      <c r="P766" s="182"/>
      <c r="Q766" s="182"/>
      <c r="R766" s="182"/>
      <c r="S766" s="182"/>
      <c r="T766" s="182"/>
      <c r="U766" s="182"/>
      <c r="V766" s="182"/>
      <c r="W766" s="182"/>
      <c r="X766" s="182"/>
      <c r="Y766" s="182"/>
    </row>
    <row r="767" spans="1:25" ht="15.75" hidden="1" customHeight="1" x14ac:dyDescent="0.2">
      <c r="A767" s="182"/>
      <c r="B767" s="175"/>
      <c r="C767" s="176"/>
      <c r="D767" s="176"/>
      <c r="E767" s="176"/>
      <c r="F767" s="123"/>
      <c r="G767" s="123"/>
      <c r="H767" s="123"/>
      <c r="I767" s="123"/>
      <c r="J767" s="174"/>
      <c r="K767" s="182"/>
      <c r="L767" s="182"/>
      <c r="M767" s="182"/>
      <c r="N767" s="182"/>
      <c r="O767" s="182"/>
      <c r="P767" s="182"/>
      <c r="Q767" s="182"/>
      <c r="R767" s="182"/>
      <c r="S767" s="182"/>
      <c r="T767" s="182"/>
      <c r="U767" s="182"/>
      <c r="V767" s="182"/>
      <c r="W767" s="182"/>
      <c r="X767" s="182"/>
      <c r="Y767" s="182"/>
    </row>
    <row r="768" spans="1:25" ht="15.75" hidden="1" customHeight="1" x14ac:dyDescent="0.2">
      <c r="A768" s="182"/>
      <c r="B768" s="175"/>
      <c r="C768" s="176"/>
      <c r="D768" s="176"/>
      <c r="E768" s="176"/>
      <c r="F768" s="123"/>
      <c r="G768" s="123"/>
      <c r="H768" s="123"/>
      <c r="I768" s="123"/>
      <c r="J768" s="174"/>
      <c r="K768" s="182"/>
      <c r="L768" s="182"/>
      <c r="M768" s="182"/>
      <c r="N768" s="182"/>
      <c r="O768" s="182"/>
      <c r="P768" s="182"/>
      <c r="Q768" s="182"/>
      <c r="R768" s="182"/>
      <c r="S768" s="182"/>
      <c r="T768" s="182"/>
      <c r="U768" s="182"/>
      <c r="V768" s="182"/>
      <c r="W768" s="182"/>
      <c r="X768" s="182"/>
      <c r="Y768" s="182"/>
    </row>
    <row r="769" spans="1:25" ht="15.75" hidden="1" customHeight="1" x14ac:dyDescent="0.2">
      <c r="A769" s="182"/>
      <c r="B769" s="175"/>
      <c r="C769" s="176"/>
      <c r="D769" s="176"/>
      <c r="E769" s="176"/>
      <c r="F769" s="123"/>
      <c r="G769" s="123"/>
      <c r="H769" s="123"/>
      <c r="I769" s="123"/>
      <c r="J769" s="174"/>
      <c r="K769" s="182"/>
      <c r="L769" s="182"/>
      <c r="M769" s="182"/>
      <c r="N769" s="182"/>
      <c r="O769" s="182"/>
      <c r="P769" s="182"/>
      <c r="Q769" s="182"/>
      <c r="R769" s="182"/>
      <c r="S769" s="182"/>
      <c r="T769" s="182"/>
      <c r="U769" s="182"/>
      <c r="V769" s="182"/>
      <c r="W769" s="182"/>
      <c r="X769" s="182"/>
      <c r="Y769" s="182"/>
    </row>
    <row r="770" spans="1:25" ht="15.75" hidden="1" customHeight="1" x14ac:dyDescent="0.2">
      <c r="A770" s="182"/>
      <c r="B770" s="175"/>
      <c r="C770" s="176"/>
      <c r="D770" s="176"/>
      <c r="E770" s="176"/>
      <c r="F770" s="123"/>
      <c r="G770" s="123"/>
      <c r="H770" s="123"/>
      <c r="I770" s="123"/>
      <c r="J770" s="174"/>
      <c r="K770" s="182"/>
      <c r="L770" s="182"/>
      <c r="M770" s="182"/>
      <c r="N770" s="182"/>
      <c r="O770" s="182"/>
      <c r="P770" s="182"/>
      <c r="Q770" s="182"/>
      <c r="R770" s="182"/>
      <c r="S770" s="182"/>
      <c r="T770" s="182"/>
      <c r="U770" s="182"/>
      <c r="V770" s="182"/>
      <c r="W770" s="182"/>
      <c r="X770" s="182"/>
      <c r="Y770" s="182"/>
    </row>
    <row r="771" spans="1:25" ht="15.75" hidden="1" customHeight="1" x14ac:dyDescent="0.2">
      <c r="A771" s="182"/>
      <c r="B771" s="175"/>
      <c r="C771" s="176"/>
      <c r="D771" s="176"/>
      <c r="E771" s="176"/>
      <c r="F771" s="123"/>
      <c r="G771" s="123"/>
      <c r="H771" s="123"/>
      <c r="I771" s="123"/>
      <c r="J771" s="174"/>
      <c r="K771" s="182"/>
      <c r="L771" s="182"/>
      <c r="M771" s="182"/>
      <c r="N771" s="182"/>
      <c r="O771" s="182"/>
      <c r="P771" s="182"/>
      <c r="Q771" s="182"/>
      <c r="R771" s="182"/>
      <c r="S771" s="182"/>
      <c r="T771" s="182"/>
      <c r="U771" s="182"/>
      <c r="V771" s="182"/>
      <c r="W771" s="182"/>
      <c r="X771" s="182"/>
      <c r="Y771" s="182"/>
    </row>
    <row r="772" spans="1:25" ht="15.75" hidden="1" customHeight="1" x14ac:dyDescent="0.2">
      <c r="A772" s="182"/>
      <c r="B772" s="175"/>
      <c r="C772" s="176"/>
      <c r="D772" s="176"/>
      <c r="E772" s="176"/>
      <c r="F772" s="123"/>
      <c r="G772" s="123"/>
      <c r="H772" s="123"/>
      <c r="I772" s="123"/>
      <c r="J772" s="174"/>
      <c r="K772" s="182"/>
      <c r="L772" s="182"/>
      <c r="M772" s="182"/>
      <c r="N772" s="182"/>
      <c r="O772" s="182"/>
      <c r="P772" s="182"/>
      <c r="Q772" s="182"/>
      <c r="R772" s="182"/>
      <c r="S772" s="182"/>
      <c r="T772" s="182"/>
      <c r="U772" s="182"/>
      <c r="V772" s="182"/>
      <c r="W772" s="182"/>
      <c r="X772" s="182"/>
      <c r="Y772" s="182"/>
    </row>
    <row r="773" spans="1:25" ht="15.75" hidden="1" customHeight="1" x14ac:dyDescent="0.2">
      <c r="A773" s="182"/>
      <c r="B773" s="175"/>
      <c r="C773" s="176"/>
      <c r="D773" s="176"/>
      <c r="E773" s="176"/>
      <c r="F773" s="123"/>
      <c r="G773" s="123"/>
      <c r="H773" s="123"/>
      <c r="I773" s="123"/>
      <c r="J773" s="174"/>
      <c r="K773" s="182"/>
      <c r="L773" s="182"/>
      <c r="M773" s="182"/>
      <c r="N773" s="182"/>
      <c r="O773" s="182"/>
      <c r="P773" s="182"/>
      <c r="Q773" s="182"/>
      <c r="R773" s="182"/>
      <c r="S773" s="182"/>
      <c r="T773" s="182"/>
      <c r="U773" s="182"/>
      <c r="V773" s="182"/>
      <c r="W773" s="182"/>
      <c r="X773" s="182"/>
      <c r="Y773" s="182"/>
    </row>
    <row r="774" spans="1:25" ht="15.75" hidden="1" customHeight="1" x14ac:dyDescent="0.2">
      <c r="A774" s="182"/>
      <c r="B774" s="175"/>
      <c r="C774" s="176"/>
      <c r="D774" s="176"/>
      <c r="E774" s="176"/>
      <c r="F774" s="123"/>
      <c r="G774" s="123"/>
      <c r="H774" s="123"/>
      <c r="I774" s="123"/>
      <c r="J774" s="174"/>
      <c r="K774" s="182"/>
      <c r="L774" s="182"/>
      <c r="M774" s="182"/>
      <c r="N774" s="182"/>
      <c r="O774" s="182"/>
      <c r="P774" s="182"/>
      <c r="Q774" s="182"/>
      <c r="R774" s="182"/>
      <c r="S774" s="182"/>
      <c r="T774" s="182"/>
      <c r="U774" s="182"/>
      <c r="V774" s="182"/>
      <c r="W774" s="182"/>
      <c r="X774" s="182"/>
      <c r="Y774" s="182"/>
    </row>
    <row r="775" spans="1:25" ht="15.75" hidden="1" customHeight="1" x14ac:dyDescent="0.2">
      <c r="A775" s="182"/>
      <c r="B775" s="175"/>
      <c r="C775" s="176"/>
      <c r="D775" s="176"/>
      <c r="E775" s="176"/>
      <c r="F775" s="123"/>
      <c r="G775" s="123"/>
      <c r="H775" s="123"/>
      <c r="I775" s="123"/>
      <c r="J775" s="174"/>
      <c r="K775" s="182"/>
      <c r="L775" s="182"/>
      <c r="M775" s="182"/>
      <c r="N775" s="182"/>
      <c r="O775" s="182"/>
      <c r="P775" s="182"/>
      <c r="Q775" s="182"/>
      <c r="R775" s="182"/>
      <c r="S775" s="182"/>
      <c r="T775" s="182"/>
      <c r="U775" s="182"/>
      <c r="V775" s="182"/>
      <c r="W775" s="182"/>
      <c r="X775" s="182"/>
      <c r="Y775" s="182"/>
    </row>
    <row r="776" spans="1:25" ht="15.75" hidden="1" customHeight="1" x14ac:dyDescent="0.2">
      <c r="A776" s="182"/>
      <c r="B776" s="175"/>
      <c r="C776" s="176"/>
      <c r="D776" s="176"/>
      <c r="E776" s="176"/>
      <c r="F776" s="123"/>
      <c r="G776" s="123"/>
      <c r="H776" s="123"/>
      <c r="I776" s="123"/>
      <c r="J776" s="174"/>
      <c r="K776" s="182"/>
      <c r="L776" s="182"/>
      <c r="M776" s="182"/>
      <c r="N776" s="182"/>
      <c r="O776" s="182"/>
      <c r="P776" s="182"/>
      <c r="Q776" s="182"/>
      <c r="R776" s="182"/>
      <c r="S776" s="182"/>
      <c r="T776" s="182"/>
      <c r="U776" s="182"/>
      <c r="V776" s="182"/>
      <c r="W776" s="182"/>
      <c r="X776" s="182"/>
      <c r="Y776" s="182"/>
    </row>
    <row r="777" spans="1:25" ht="15.75" hidden="1" customHeight="1" x14ac:dyDescent="0.2">
      <c r="A777" s="182"/>
      <c r="B777" s="175"/>
      <c r="C777" s="176"/>
      <c r="D777" s="176"/>
      <c r="E777" s="176"/>
      <c r="F777" s="123"/>
      <c r="G777" s="123"/>
      <c r="H777" s="123"/>
      <c r="I777" s="123"/>
      <c r="J777" s="174"/>
      <c r="K777" s="182"/>
      <c r="L777" s="182"/>
      <c r="M777" s="182"/>
      <c r="N777" s="182"/>
      <c r="O777" s="182"/>
      <c r="P777" s="182"/>
      <c r="Q777" s="182"/>
      <c r="R777" s="182"/>
      <c r="S777" s="182"/>
      <c r="T777" s="182"/>
      <c r="U777" s="182"/>
      <c r="V777" s="182"/>
      <c r="W777" s="182"/>
      <c r="X777" s="182"/>
      <c r="Y777" s="182"/>
    </row>
    <row r="778" spans="1:25" ht="15.75" hidden="1" customHeight="1" x14ac:dyDescent="0.2">
      <c r="A778" s="182"/>
      <c r="B778" s="175"/>
      <c r="C778" s="176"/>
      <c r="D778" s="176"/>
      <c r="E778" s="176"/>
      <c r="F778" s="123"/>
      <c r="G778" s="123"/>
      <c r="H778" s="123"/>
      <c r="I778" s="123"/>
      <c r="J778" s="174"/>
      <c r="K778" s="182"/>
      <c r="L778" s="182"/>
      <c r="M778" s="182"/>
      <c r="N778" s="182"/>
      <c r="O778" s="182"/>
      <c r="P778" s="182"/>
      <c r="Q778" s="182"/>
      <c r="R778" s="182"/>
      <c r="S778" s="182"/>
      <c r="T778" s="182"/>
      <c r="U778" s="182"/>
      <c r="V778" s="182"/>
      <c r="W778" s="182"/>
      <c r="X778" s="182"/>
      <c r="Y778" s="182"/>
    </row>
    <row r="779" spans="1:25" ht="15.75" hidden="1" customHeight="1" x14ac:dyDescent="0.2">
      <c r="A779" s="182"/>
      <c r="B779" s="175"/>
      <c r="C779" s="176"/>
      <c r="D779" s="176"/>
      <c r="E779" s="176"/>
      <c r="F779" s="123"/>
      <c r="G779" s="123"/>
      <c r="H779" s="123"/>
      <c r="I779" s="123"/>
      <c r="J779" s="174"/>
      <c r="K779" s="182"/>
      <c r="L779" s="182"/>
      <c r="M779" s="182"/>
      <c r="N779" s="182"/>
      <c r="O779" s="182"/>
      <c r="P779" s="182"/>
      <c r="Q779" s="182"/>
      <c r="R779" s="182"/>
      <c r="S779" s="182"/>
      <c r="T779" s="182"/>
      <c r="U779" s="182"/>
      <c r="V779" s="182"/>
      <c r="W779" s="182"/>
      <c r="X779" s="182"/>
      <c r="Y779" s="182"/>
    </row>
    <row r="780" spans="1:25" ht="15.75" hidden="1" customHeight="1" x14ac:dyDescent="0.2">
      <c r="A780" s="182"/>
      <c r="B780" s="175"/>
      <c r="C780" s="176"/>
      <c r="D780" s="176"/>
      <c r="E780" s="176"/>
      <c r="F780" s="123"/>
      <c r="G780" s="123"/>
      <c r="H780" s="123"/>
      <c r="I780" s="123"/>
      <c r="J780" s="174"/>
      <c r="K780" s="182"/>
      <c r="L780" s="182"/>
      <c r="M780" s="182"/>
      <c r="N780" s="182"/>
      <c r="O780" s="182"/>
      <c r="P780" s="182"/>
      <c r="Q780" s="182"/>
      <c r="R780" s="182"/>
      <c r="S780" s="182"/>
      <c r="T780" s="182"/>
      <c r="U780" s="182"/>
      <c r="V780" s="182"/>
      <c r="W780" s="182"/>
      <c r="X780" s="182"/>
      <c r="Y780" s="182"/>
    </row>
    <row r="781" spans="1:25" ht="15.75" hidden="1" customHeight="1" x14ac:dyDescent="0.2">
      <c r="A781" s="182"/>
      <c r="B781" s="175"/>
      <c r="C781" s="176"/>
      <c r="D781" s="176"/>
      <c r="E781" s="176"/>
      <c r="F781" s="123"/>
      <c r="G781" s="123"/>
      <c r="H781" s="123"/>
      <c r="I781" s="123"/>
      <c r="J781" s="174"/>
      <c r="K781" s="182"/>
      <c r="L781" s="182"/>
      <c r="M781" s="182"/>
      <c r="N781" s="182"/>
      <c r="O781" s="182"/>
      <c r="P781" s="182"/>
      <c r="Q781" s="182"/>
      <c r="R781" s="182"/>
      <c r="S781" s="182"/>
      <c r="T781" s="182"/>
      <c r="U781" s="182"/>
      <c r="V781" s="182"/>
      <c r="W781" s="182"/>
      <c r="X781" s="182"/>
      <c r="Y781" s="182"/>
    </row>
    <row r="782" spans="1:25" ht="15.75" hidden="1" customHeight="1" x14ac:dyDescent="0.2">
      <c r="A782" s="182"/>
      <c r="B782" s="175"/>
      <c r="C782" s="176"/>
      <c r="D782" s="176"/>
      <c r="E782" s="176"/>
      <c r="F782" s="123"/>
      <c r="G782" s="123"/>
      <c r="H782" s="123"/>
      <c r="I782" s="123"/>
      <c r="J782" s="174"/>
      <c r="K782" s="182"/>
      <c r="L782" s="182"/>
      <c r="M782" s="182"/>
      <c r="N782" s="182"/>
      <c r="O782" s="182"/>
      <c r="P782" s="182"/>
      <c r="Q782" s="182"/>
      <c r="R782" s="182"/>
      <c r="S782" s="182"/>
      <c r="T782" s="182"/>
      <c r="U782" s="182"/>
      <c r="V782" s="182"/>
      <c r="W782" s="182"/>
      <c r="X782" s="182"/>
      <c r="Y782" s="182"/>
    </row>
    <row r="783" spans="1:25" ht="15.75" hidden="1" customHeight="1" x14ac:dyDescent="0.2">
      <c r="A783" s="182"/>
      <c r="B783" s="175"/>
      <c r="C783" s="176"/>
      <c r="D783" s="176"/>
      <c r="E783" s="176"/>
      <c r="F783" s="123"/>
      <c r="G783" s="123"/>
      <c r="H783" s="123"/>
      <c r="I783" s="123"/>
      <c r="J783" s="174"/>
      <c r="K783" s="182"/>
      <c r="L783" s="182"/>
      <c r="M783" s="182"/>
      <c r="N783" s="182"/>
      <c r="O783" s="182"/>
      <c r="P783" s="182"/>
      <c r="Q783" s="182"/>
      <c r="R783" s="182"/>
      <c r="S783" s="182"/>
      <c r="T783" s="182"/>
      <c r="U783" s="182"/>
      <c r="V783" s="182"/>
      <c r="W783" s="182"/>
      <c r="X783" s="182"/>
      <c r="Y783" s="182"/>
    </row>
    <row r="784" spans="1:25" ht="15.75" hidden="1" customHeight="1" x14ac:dyDescent="0.2">
      <c r="A784" s="182"/>
      <c r="B784" s="175"/>
      <c r="C784" s="176"/>
      <c r="D784" s="176"/>
      <c r="E784" s="176"/>
      <c r="F784" s="123"/>
      <c r="G784" s="123"/>
      <c r="H784" s="123"/>
      <c r="I784" s="123"/>
      <c r="J784" s="174"/>
      <c r="K784" s="182"/>
      <c r="L784" s="182"/>
      <c r="M784" s="182"/>
      <c r="N784" s="182"/>
      <c r="O784" s="182"/>
      <c r="P784" s="182"/>
      <c r="Q784" s="182"/>
      <c r="R784" s="182"/>
      <c r="S784" s="182"/>
      <c r="T784" s="182"/>
      <c r="U784" s="182"/>
      <c r="V784" s="182"/>
      <c r="W784" s="182"/>
      <c r="X784" s="182"/>
      <c r="Y784" s="182"/>
    </row>
    <row r="785" spans="1:25" ht="15.75" hidden="1" customHeight="1" x14ac:dyDescent="0.2">
      <c r="A785" s="182"/>
      <c r="B785" s="175"/>
      <c r="C785" s="176"/>
      <c r="D785" s="176"/>
      <c r="E785" s="176"/>
      <c r="F785" s="123"/>
      <c r="G785" s="123"/>
      <c r="H785" s="123"/>
      <c r="I785" s="123"/>
      <c r="J785" s="174"/>
      <c r="K785" s="182"/>
      <c r="L785" s="182"/>
      <c r="M785" s="182"/>
      <c r="N785" s="182"/>
      <c r="O785" s="182"/>
      <c r="P785" s="182"/>
      <c r="Q785" s="182"/>
      <c r="R785" s="182"/>
      <c r="S785" s="182"/>
      <c r="T785" s="182"/>
      <c r="U785" s="182"/>
      <c r="V785" s="182"/>
      <c r="W785" s="182"/>
      <c r="X785" s="182"/>
      <c r="Y785" s="182"/>
    </row>
    <row r="786" spans="1:25" ht="15.75" hidden="1" customHeight="1" x14ac:dyDescent="0.2">
      <c r="A786" s="182"/>
      <c r="B786" s="175"/>
      <c r="C786" s="176"/>
      <c r="D786" s="176"/>
      <c r="E786" s="176"/>
      <c r="F786" s="123"/>
      <c r="G786" s="123"/>
      <c r="H786" s="123"/>
      <c r="I786" s="123"/>
      <c r="J786" s="174"/>
      <c r="K786" s="182"/>
      <c r="L786" s="182"/>
      <c r="M786" s="182"/>
      <c r="N786" s="182"/>
      <c r="O786" s="182"/>
      <c r="P786" s="182"/>
      <c r="Q786" s="182"/>
      <c r="R786" s="182"/>
      <c r="S786" s="182"/>
      <c r="T786" s="182"/>
      <c r="U786" s="182"/>
      <c r="V786" s="182"/>
      <c r="W786" s="182"/>
      <c r="X786" s="182"/>
      <c r="Y786" s="182"/>
    </row>
    <row r="787" spans="1:25" ht="15.75" hidden="1" customHeight="1" x14ac:dyDescent="0.2">
      <c r="A787" s="182"/>
      <c r="B787" s="175"/>
      <c r="C787" s="176"/>
      <c r="D787" s="176"/>
      <c r="E787" s="176"/>
      <c r="F787" s="123"/>
      <c r="G787" s="123"/>
      <c r="H787" s="123"/>
      <c r="I787" s="123"/>
      <c r="J787" s="174"/>
      <c r="K787" s="182"/>
      <c r="L787" s="182"/>
      <c r="M787" s="182"/>
      <c r="N787" s="182"/>
      <c r="O787" s="182"/>
      <c r="P787" s="182"/>
      <c r="Q787" s="182"/>
      <c r="R787" s="182"/>
      <c r="S787" s="182"/>
      <c r="T787" s="182"/>
      <c r="U787" s="182"/>
      <c r="V787" s="182"/>
      <c r="W787" s="182"/>
      <c r="X787" s="182"/>
      <c r="Y787" s="182"/>
    </row>
    <row r="788" spans="1:25" ht="15.75" hidden="1" customHeight="1" x14ac:dyDescent="0.2">
      <c r="A788" s="182"/>
      <c r="B788" s="175"/>
      <c r="C788" s="176"/>
      <c r="D788" s="176"/>
      <c r="E788" s="176"/>
      <c r="F788" s="123"/>
      <c r="G788" s="123"/>
      <c r="H788" s="123"/>
      <c r="I788" s="123"/>
      <c r="J788" s="174"/>
      <c r="K788" s="182"/>
      <c r="L788" s="182"/>
      <c r="M788" s="182"/>
      <c r="N788" s="182"/>
      <c r="O788" s="182"/>
      <c r="P788" s="182"/>
      <c r="Q788" s="182"/>
      <c r="R788" s="182"/>
      <c r="S788" s="182"/>
      <c r="T788" s="182"/>
      <c r="U788" s="182"/>
      <c r="V788" s="182"/>
      <c r="W788" s="182"/>
      <c r="X788" s="182"/>
      <c r="Y788" s="182"/>
    </row>
    <row r="789" spans="1:25" ht="15.75" hidden="1" customHeight="1" x14ac:dyDescent="0.2">
      <c r="A789" s="182"/>
      <c r="B789" s="175"/>
      <c r="C789" s="176"/>
      <c r="D789" s="176"/>
      <c r="E789" s="176"/>
      <c r="F789" s="123"/>
      <c r="G789" s="123"/>
      <c r="H789" s="123"/>
      <c r="I789" s="123"/>
      <c r="J789" s="174"/>
      <c r="K789" s="182"/>
      <c r="L789" s="182"/>
      <c r="M789" s="182"/>
      <c r="N789" s="182"/>
      <c r="O789" s="182"/>
      <c r="P789" s="182"/>
      <c r="Q789" s="182"/>
      <c r="R789" s="182"/>
      <c r="S789" s="182"/>
      <c r="T789" s="182"/>
      <c r="U789" s="182"/>
      <c r="V789" s="182"/>
      <c r="W789" s="182"/>
      <c r="X789" s="182"/>
      <c r="Y789" s="182"/>
    </row>
    <row r="790" spans="1:25" ht="15.75" hidden="1" customHeight="1" x14ac:dyDescent="0.2">
      <c r="A790" s="182"/>
      <c r="B790" s="175"/>
      <c r="C790" s="176"/>
      <c r="D790" s="176"/>
      <c r="E790" s="176"/>
      <c r="F790" s="123"/>
      <c r="G790" s="123"/>
      <c r="H790" s="123"/>
      <c r="I790" s="123"/>
      <c r="J790" s="174"/>
      <c r="K790" s="182"/>
      <c r="L790" s="182"/>
      <c r="M790" s="182"/>
      <c r="N790" s="182"/>
      <c r="O790" s="182"/>
      <c r="P790" s="182"/>
      <c r="Q790" s="182"/>
      <c r="R790" s="182"/>
      <c r="S790" s="182"/>
      <c r="T790" s="182"/>
      <c r="U790" s="182"/>
      <c r="V790" s="182"/>
      <c r="W790" s="182"/>
      <c r="X790" s="182"/>
      <c r="Y790" s="182"/>
    </row>
    <row r="791" spans="1:25" ht="15.75" hidden="1" customHeight="1" x14ac:dyDescent="0.2">
      <c r="A791" s="182"/>
      <c r="B791" s="175"/>
      <c r="C791" s="176"/>
      <c r="D791" s="176"/>
      <c r="E791" s="176"/>
      <c r="F791" s="123"/>
      <c r="G791" s="123"/>
      <c r="H791" s="123"/>
      <c r="I791" s="123"/>
      <c r="J791" s="174"/>
      <c r="K791" s="182"/>
      <c r="L791" s="182"/>
      <c r="M791" s="182"/>
      <c r="N791" s="182"/>
      <c r="O791" s="182"/>
      <c r="P791" s="182"/>
      <c r="Q791" s="182"/>
      <c r="R791" s="182"/>
      <c r="S791" s="182"/>
      <c r="T791" s="182"/>
      <c r="U791" s="182"/>
      <c r="V791" s="182"/>
      <c r="W791" s="182"/>
      <c r="X791" s="182"/>
      <c r="Y791" s="182"/>
    </row>
    <row r="792" spans="1:25" ht="15.75" hidden="1" customHeight="1" x14ac:dyDescent="0.2">
      <c r="A792" s="182"/>
      <c r="B792" s="175"/>
      <c r="C792" s="176"/>
      <c r="D792" s="176"/>
      <c r="E792" s="176"/>
      <c r="F792" s="123"/>
      <c r="G792" s="123"/>
      <c r="H792" s="123"/>
      <c r="I792" s="123"/>
      <c r="J792" s="174"/>
      <c r="K792" s="182"/>
      <c r="L792" s="182"/>
      <c r="M792" s="182"/>
      <c r="N792" s="182"/>
      <c r="O792" s="182"/>
      <c r="P792" s="182"/>
      <c r="Q792" s="182"/>
      <c r="R792" s="182"/>
      <c r="S792" s="182"/>
      <c r="T792" s="182"/>
      <c r="U792" s="182"/>
      <c r="V792" s="182"/>
      <c r="W792" s="182"/>
      <c r="X792" s="182"/>
      <c r="Y792" s="182"/>
    </row>
    <row r="793" spans="1:25" ht="15.75" hidden="1" customHeight="1" x14ac:dyDescent="0.2">
      <c r="A793" s="182"/>
      <c r="B793" s="175"/>
      <c r="C793" s="176"/>
      <c r="D793" s="176"/>
      <c r="E793" s="176"/>
      <c r="F793" s="123"/>
      <c r="G793" s="123"/>
      <c r="H793" s="123"/>
      <c r="I793" s="123"/>
      <c r="J793" s="174"/>
      <c r="K793" s="182"/>
      <c r="L793" s="182"/>
      <c r="M793" s="182"/>
      <c r="N793" s="182"/>
      <c r="O793" s="182"/>
      <c r="P793" s="182"/>
      <c r="Q793" s="182"/>
      <c r="R793" s="182"/>
      <c r="S793" s="182"/>
      <c r="T793" s="182"/>
      <c r="U793" s="182"/>
      <c r="V793" s="182"/>
      <c r="W793" s="182"/>
      <c r="X793" s="182"/>
      <c r="Y793" s="182"/>
    </row>
    <row r="794" spans="1:25" ht="15.75" hidden="1" customHeight="1" x14ac:dyDescent="0.2">
      <c r="A794" s="182"/>
      <c r="B794" s="175"/>
      <c r="C794" s="176"/>
      <c r="D794" s="176"/>
      <c r="E794" s="176"/>
      <c r="F794" s="123"/>
      <c r="G794" s="123"/>
      <c r="H794" s="123"/>
      <c r="I794" s="123"/>
      <c r="J794" s="174"/>
      <c r="K794" s="182"/>
      <c r="L794" s="182"/>
      <c r="M794" s="182"/>
      <c r="N794" s="182"/>
      <c r="O794" s="182"/>
      <c r="P794" s="182"/>
      <c r="Q794" s="182"/>
      <c r="R794" s="182"/>
      <c r="S794" s="182"/>
      <c r="T794" s="182"/>
      <c r="U794" s="182"/>
      <c r="V794" s="182"/>
      <c r="W794" s="182"/>
      <c r="X794" s="182"/>
      <c r="Y794" s="182"/>
    </row>
    <row r="795" spans="1:25" ht="15.75" hidden="1" customHeight="1" x14ac:dyDescent="0.2">
      <c r="A795" s="182"/>
      <c r="B795" s="175"/>
      <c r="C795" s="176"/>
      <c r="D795" s="176"/>
      <c r="E795" s="176"/>
      <c r="F795" s="123"/>
      <c r="G795" s="123"/>
      <c r="H795" s="123"/>
      <c r="I795" s="123"/>
      <c r="J795" s="174"/>
      <c r="K795" s="182"/>
      <c r="L795" s="182"/>
      <c r="M795" s="182"/>
      <c r="N795" s="182"/>
      <c r="O795" s="182"/>
      <c r="P795" s="182"/>
      <c r="Q795" s="182"/>
      <c r="R795" s="182"/>
      <c r="S795" s="182"/>
      <c r="T795" s="182"/>
      <c r="U795" s="182"/>
      <c r="V795" s="182"/>
      <c r="W795" s="182"/>
      <c r="X795" s="182"/>
      <c r="Y795" s="182"/>
    </row>
    <row r="796" spans="1:25" ht="15.75" hidden="1" customHeight="1" x14ac:dyDescent="0.2">
      <c r="A796" s="182"/>
      <c r="B796" s="175"/>
      <c r="C796" s="176"/>
      <c r="D796" s="176"/>
      <c r="E796" s="176"/>
      <c r="F796" s="123"/>
      <c r="G796" s="123"/>
      <c r="H796" s="123"/>
      <c r="I796" s="123"/>
      <c r="J796" s="174"/>
      <c r="K796" s="182"/>
      <c r="L796" s="182"/>
      <c r="M796" s="182"/>
      <c r="N796" s="182"/>
      <c r="O796" s="182"/>
      <c r="P796" s="182"/>
      <c r="Q796" s="182"/>
      <c r="R796" s="182"/>
      <c r="S796" s="182"/>
      <c r="T796" s="182"/>
      <c r="U796" s="182"/>
      <c r="V796" s="182"/>
      <c r="W796" s="182"/>
      <c r="X796" s="182"/>
      <c r="Y796" s="182"/>
    </row>
    <row r="797" spans="1:25" ht="15.75" hidden="1" customHeight="1" x14ac:dyDescent="0.2">
      <c r="A797" s="182"/>
      <c r="B797" s="175"/>
      <c r="C797" s="176"/>
      <c r="D797" s="176"/>
      <c r="E797" s="176"/>
      <c r="F797" s="123"/>
      <c r="G797" s="123"/>
      <c r="H797" s="123"/>
      <c r="I797" s="123"/>
      <c r="J797" s="174"/>
      <c r="K797" s="182"/>
      <c r="L797" s="182"/>
      <c r="M797" s="182"/>
      <c r="N797" s="182"/>
      <c r="O797" s="182"/>
      <c r="P797" s="182"/>
      <c r="Q797" s="182"/>
      <c r="R797" s="182"/>
      <c r="S797" s="182"/>
      <c r="T797" s="182"/>
      <c r="U797" s="182"/>
      <c r="V797" s="182"/>
      <c r="W797" s="182"/>
      <c r="X797" s="182"/>
      <c r="Y797" s="182"/>
    </row>
    <row r="798" spans="1:25" ht="15.75" hidden="1" customHeight="1" x14ac:dyDescent="0.2">
      <c r="A798" s="182"/>
      <c r="B798" s="175"/>
      <c r="C798" s="176"/>
      <c r="D798" s="176"/>
      <c r="E798" s="176"/>
      <c r="F798" s="123"/>
      <c r="G798" s="123"/>
      <c r="H798" s="123"/>
      <c r="I798" s="123"/>
      <c r="J798" s="174"/>
      <c r="K798" s="182"/>
      <c r="L798" s="182"/>
      <c r="M798" s="182"/>
      <c r="N798" s="182"/>
      <c r="O798" s="182"/>
      <c r="P798" s="182"/>
      <c r="Q798" s="182"/>
      <c r="R798" s="182"/>
      <c r="S798" s="182"/>
      <c r="T798" s="182"/>
      <c r="U798" s="182"/>
      <c r="V798" s="182"/>
      <c r="W798" s="182"/>
      <c r="X798" s="182"/>
      <c r="Y798" s="182"/>
    </row>
    <row r="799" spans="1:25" ht="15.75" hidden="1" customHeight="1" x14ac:dyDescent="0.2">
      <c r="A799" s="182"/>
      <c r="B799" s="175"/>
      <c r="C799" s="176"/>
      <c r="D799" s="176"/>
      <c r="E799" s="176"/>
      <c r="F799" s="123"/>
      <c r="G799" s="123"/>
      <c r="H799" s="123"/>
      <c r="I799" s="123"/>
      <c r="J799" s="174"/>
      <c r="K799" s="182"/>
      <c r="L799" s="182"/>
      <c r="M799" s="182"/>
      <c r="N799" s="182"/>
      <c r="O799" s="182"/>
      <c r="P799" s="182"/>
      <c r="Q799" s="182"/>
      <c r="R799" s="182"/>
      <c r="S799" s="182"/>
      <c r="T799" s="182"/>
      <c r="U799" s="182"/>
      <c r="V799" s="182"/>
      <c r="W799" s="182"/>
      <c r="X799" s="182"/>
      <c r="Y799" s="182"/>
    </row>
    <row r="800" spans="1:25" ht="15.75" hidden="1" customHeight="1" x14ac:dyDescent="0.2">
      <c r="A800" s="182"/>
      <c r="B800" s="175"/>
      <c r="C800" s="176"/>
      <c r="D800" s="176"/>
      <c r="E800" s="176"/>
      <c r="F800" s="123"/>
      <c r="G800" s="123"/>
      <c r="H800" s="123"/>
      <c r="I800" s="123"/>
      <c r="J800" s="174"/>
      <c r="K800" s="182"/>
      <c r="L800" s="182"/>
      <c r="M800" s="182"/>
      <c r="N800" s="182"/>
      <c r="O800" s="182"/>
      <c r="P800" s="182"/>
      <c r="Q800" s="182"/>
      <c r="R800" s="182"/>
      <c r="S800" s="182"/>
      <c r="T800" s="182"/>
      <c r="U800" s="182"/>
      <c r="V800" s="182"/>
      <c r="W800" s="182"/>
      <c r="X800" s="182"/>
      <c r="Y800" s="182"/>
    </row>
    <row r="801" spans="1:25" ht="15.75" hidden="1" customHeight="1" x14ac:dyDescent="0.2">
      <c r="A801" s="182"/>
      <c r="B801" s="175"/>
      <c r="C801" s="176"/>
      <c r="D801" s="176"/>
      <c r="E801" s="176"/>
      <c r="F801" s="123"/>
      <c r="G801" s="123"/>
      <c r="H801" s="123"/>
      <c r="I801" s="123"/>
      <c r="J801" s="174"/>
      <c r="K801" s="182"/>
      <c r="L801" s="182"/>
      <c r="M801" s="182"/>
      <c r="N801" s="182"/>
      <c r="O801" s="182"/>
      <c r="P801" s="182"/>
      <c r="Q801" s="182"/>
      <c r="R801" s="182"/>
      <c r="S801" s="182"/>
      <c r="T801" s="182"/>
      <c r="U801" s="182"/>
      <c r="V801" s="182"/>
      <c r="W801" s="182"/>
      <c r="X801" s="182"/>
      <c r="Y801" s="182"/>
    </row>
    <row r="802" spans="1:25" ht="15.75" hidden="1" customHeight="1" x14ac:dyDescent="0.2">
      <c r="A802" s="182"/>
      <c r="B802" s="175"/>
      <c r="C802" s="176"/>
      <c r="D802" s="176"/>
      <c r="E802" s="176"/>
      <c r="F802" s="123"/>
      <c r="G802" s="123"/>
      <c r="H802" s="123"/>
      <c r="I802" s="123"/>
      <c r="J802" s="174"/>
      <c r="K802" s="182"/>
      <c r="L802" s="182"/>
      <c r="M802" s="182"/>
      <c r="N802" s="182"/>
      <c r="O802" s="182"/>
      <c r="P802" s="182"/>
      <c r="Q802" s="182"/>
      <c r="R802" s="182"/>
      <c r="S802" s="182"/>
      <c r="T802" s="182"/>
      <c r="U802" s="182"/>
      <c r="V802" s="182"/>
      <c r="W802" s="182"/>
      <c r="X802" s="182"/>
      <c r="Y802" s="182"/>
    </row>
    <row r="803" spans="1:25" ht="15.75" hidden="1" customHeight="1" x14ac:dyDescent="0.2">
      <c r="A803" s="182"/>
      <c r="B803" s="175"/>
      <c r="C803" s="176"/>
      <c r="D803" s="176"/>
      <c r="E803" s="176"/>
      <c r="F803" s="123"/>
      <c r="G803" s="123"/>
      <c r="H803" s="123"/>
      <c r="I803" s="123"/>
      <c r="J803" s="174"/>
      <c r="K803" s="182"/>
      <c r="L803" s="182"/>
      <c r="M803" s="182"/>
      <c r="N803" s="182"/>
      <c r="O803" s="182"/>
      <c r="P803" s="182"/>
      <c r="Q803" s="182"/>
      <c r="R803" s="182"/>
      <c r="S803" s="182"/>
      <c r="T803" s="182"/>
      <c r="U803" s="182"/>
      <c r="V803" s="182"/>
      <c r="W803" s="182"/>
      <c r="X803" s="182"/>
      <c r="Y803" s="182"/>
    </row>
    <row r="804" spans="1:25" ht="15.75" hidden="1" customHeight="1" x14ac:dyDescent="0.2">
      <c r="A804" s="182"/>
      <c r="B804" s="175"/>
      <c r="C804" s="176"/>
      <c r="D804" s="176"/>
      <c r="E804" s="176"/>
      <c r="F804" s="123"/>
      <c r="G804" s="123"/>
      <c r="H804" s="123"/>
      <c r="I804" s="123"/>
      <c r="J804" s="174"/>
      <c r="K804" s="182"/>
      <c r="L804" s="182"/>
      <c r="M804" s="182"/>
      <c r="N804" s="182"/>
      <c r="O804" s="182"/>
      <c r="P804" s="182"/>
      <c r="Q804" s="182"/>
      <c r="R804" s="182"/>
      <c r="S804" s="182"/>
      <c r="T804" s="182"/>
      <c r="U804" s="182"/>
      <c r="V804" s="182"/>
      <c r="W804" s="182"/>
      <c r="X804" s="182"/>
      <c r="Y804" s="182"/>
    </row>
    <row r="805" spans="1:25" ht="15.75" hidden="1" customHeight="1" x14ac:dyDescent="0.2">
      <c r="A805" s="182"/>
      <c r="B805" s="175"/>
      <c r="C805" s="176"/>
      <c r="D805" s="176"/>
      <c r="E805" s="176"/>
      <c r="F805" s="123"/>
      <c r="G805" s="123"/>
      <c r="H805" s="123"/>
      <c r="I805" s="123"/>
      <c r="J805" s="174"/>
      <c r="K805" s="182"/>
      <c r="L805" s="182"/>
      <c r="M805" s="182"/>
      <c r="N805" s="182"/>
      <c r="O805" s="182"/>
      <c r="P805" s="182"/>
      <c r="Q805" s="182"/>
      <c r="R805" s="182"/>
      <c r="S805" s="182"/>
      <c r="T805" s="182"/>
      <c r="U805" s="182"/>
      <c r="V805" s="182"/>
      <c r="W805" s="182"/>
      <c r="X805" s="182"/>
      <c r="Y805" s="182"/>
    </row>
    <row r="806" spans="1:25" ht="15.75" hidden="1" customHeight="1" x14ac:dyDescent="0.2">
      <c r="A806" s="182"/>
      <c r="B806" s="175"/>
      <c r="C806" s="176"/>
      <c r="D806" s="176"/>
      <c r="E806" s="176"/>
      <c r="F806" s="123"/>
      <c r="G806" s="123"/>
      <c r="H806" s="123"/>
      <c r="I806" s="123"/>
      <c r="J806" s="174"/>
      <c r="K806" s="182"/>
      <c r="L806" s="182"/>
      <c r="M806" s="182"/>
      <c r="N806" s="182"/>
      <c r="O806" s="182"/>
      <c r="P806" s="182"/>
      <c r="Q806" s="182"/>
      <c r="R806" s="182"/>
      <c r="S806" s="182"/>
      <c r="T806" s="182"/>
      <c r="U806" s="182"/>
      <c r="V806" s="182"/>
      <c r="W806" s="182"/>
      <c r="X806" s="182"/>
      <c r="Y806" s="182"/>
    </row>
    <row r="807" spans="1:25" ht="15.75" hidden="1" customHeight="1" x14ac:dyDescent="0.2">
      <c r="A807" s="182"/>
      <c r="B807" s="175"/>
      <c r="C807" s="176"/>
      <c r="D807" s="176"/>
      <c r="E807" s="176"/>
      <c r="F807" s="123"/>
      <c r="G807" s="123"/>
      <c r="H807" s="123"/>
      <c r="I807" s="123"/>
      <c r="J807" s="174"/>
      <c r="K807" s="182"/>
      <c r="L807" s="182"/>
      <c r="M807" s="182"/>
      <c r="N807" s="182"/>
      <c r="O807" s="182"/>
      <c r="P807" s="182"/>
      <c r="Q807" s="182"/>
      <c r="R807" s="182"/>
      <c r="S807" s="182"/>
      <c r="T807" s="182"/>
      <c r="U807" s="182"/>
      <c r="V807" s="182"/>
      <c r="W807" s="182"/>
      <c r="X807" s="182"/>
      <c r="Y807" s="182"/>
    </row>
    <row r="808" spans="1:25" ht="15.75" hidden="1" customHeight="1" x14ac:dyDescent="0.2">
      <c r="A808" s="182"/>
      <c r="B808" s="175"/>
      <c r="C808" s="176"/>
      <c r="D808" s="176"/>
      <c r="E808" s="176"/>
      <c r="F808" s="123"/>
      <c r="G808" s="123"/>
      <c r="H808" s="123"/>
      <c r="I808" s="123"/>
      <c r="J808" s="174"/>
      <c r="K808" s="182"/>
      <c r="L808" s="182"/>
      <c r="M808" s="182"/>
      <c r="N808" s="182"/>
      <c r="O808" s="182"/>
      <c r="P808" s="182"/>
      <c r="Q808" s="182"/>
      <c r="R808" s="182"/>
      <c r="S808" s="182"/>
      <c r="T808" s="182"/>
      <c r="U808" s="182"/>
      <c r="V808" s="182"/>
      <c r="W808" s="182"/>
      <c r="X808" s="182"/>
      <c r="Y808" s="182"/>
    </row>
    <row r="809" spans="1:25" ht="15.75" hidden="1" customHeight="1" x14ac:dyDescent="0.2">
      <c r="A809" s="182"/>
      <c r="B809" s="175"/>
      <c r="C809" s="176"/>
      <c r="D809" s="176"/>
      <c r="E809" s="176"/>
      <c r="F809" s="123"/>
      <c r="G809" s="123"/>
      <c r="H809" s="123"/>
      <c r="I809" s="123"/>
      <c r="J809" s="174"/>
      <c r="K809" s="182"/>
      <c r="L809" s="182"/>
      <c r="M809" s="182"/>
      <c r="N809" s="182"/>
      <c r="O809" s="182"/>
      <c r="P809" s="182"/>
      <c r="Q809" s="182"/>
      <c r="R809" s="182"/>
      <c r="S809" s="182"/>
      <c r="T809" s="182"/>
      <c r="U809" s="182"/>
      <c r="V809" s="182"/>
      <c r="W809" s="182"/>
      <c r="X809" s="182"/>
      <c r="Y809" s="182"/>
    </row>
    <row r="810" spans="1:25" ht="15.75" hidden="1" customHeight="1" x14ac:dyDescent="0.2">
      <c r="A810" s="182"/>
      <c r="B810" s="175"/>
      <c r="C810" s="176"/>
      <c r="D810" s="176"/>
      <c r="E810" s="176"/>
      <c r="F810" s="123"/>
      <c r="G810" s="123"/>
      <c r="H810" s="123"/>
      <c r="I810" s="123"/>
      <c r="J810" s="174"/>
      <c r="K810" s="182"/>
      <c r="L810" s="182"/>
      <c r="M810" s="182"/>
      <c r="N810" s="182"/>
      <c r="O810" s="182"/>
      <c r="P810" s="182"/>
      <c r="Q810" s="182"/>
      <c r="R810" s="182"/>
      <c r="S810" s="182"/>
      <c r="T810" s="182"/>
      <c r="U810" s="182"/>
      <c r="V810" s="182"/>
      <c r="W810" s="182"/>
      <c r="X810" s="182"/>
      <c r="Y810" s="182"/>
    </row>
    <row r="811" spans="1:25" ht="15.75" hidden="1" customHeight="1" x14ac:dyDescent="0.2">
      <c r="A811" s="182"/>
      <c r="B811" s="175"/>
      <c r="C811" s="176"/>
      <c r="D811" s="176"/>
      <c r="E811" s="176"/>
      <c r="F811" s="123"/>
      <c r="G811" s="123"/>
      <c r="H811" s="123"/>
      <c r="I811" s="123"/>
      <c r="J811" s="174"/>
      <c r="K811" s="182"/>
      <c r="L811" s="182"/>
      <c r="M811" s="182"/>
      <c r="N811" s="182"/>
      <c r="O811" s="182"/>
      <c r="P811" s="182"/>
      <c r="Q811" s="182"/>
      <c r="R811" s="182"/>
      <c r="S811" s="182"/>
      <c r="T811" s="182"/>
      <c r="U811" s="182"/>
      <c r="V811" s="182"/>
      <c r="W811" s="182"/>
      <c r="X811" s="182"/>
      <c r="Y811" s="182"/>
    </row>
    <row r="812" spans="1:25" ht="15.75" hidden="1" customHeight="1" x14ac:dyDescent="0.2">
      <c r="A812" s="182"/>
      <c r="B812" s="175"/>
      <c r="C812" s="176"/>
      <c r="D812" s="176"/>
      <c r="E812" s="176"/>
      <c r="F812" s="123"/>
      <c r="G812" s="123"/>
      <c r="H812" s="123"/>
      <c r="I812" s="123"/>
      <c r="J812" s="174"/>
      <c r="K812" s="182"/>
      <c r="L812" s="182"/>
      <c r="M812" s="182"/>
      <c r="N812" s="182"/>
      <c r="O812" s="182"/>
      <c r="P812" s="182"/>
      <c r="Q812" s="182"/>
      <c r="R812" s="182"/>
      <c r="S812" s="182"/>
      <c r="T812" s="182"/>
      <c r="U812" s="182"/>
      <c r="V812" s="182"/>
      <c r="W812" s="182"/>
      <c r="X812" s="182"/>
      <c r="Y812" s="182"/>
    </row>
    <row r="813" spans="1:25" ht="15.75" hidden="1" customHeight="1" x14ac:dyDescent="0.2">
      <c r="A813" s="182"/>
      <c r="B813" s="175"/>
      <c r="C813" s="176"/>
      <c r="D813" s="176"/>
      <c r="E813" s="176"/>
      <c r="F813" s="123"/>
      <c r="G813" s="123"/>
      <c r="H813" s="123"/>
      <c r="I813" s="123"/>
      <c r="J813" s="174"/>
      <c r="K813" s="182"/>
      <c r="L813" s="182"/>
      <c r="M813" s="182"/>
      <c r="N813" s="182"/>
      <c r="O813" s="182"/>
      <c r="P813" s="182"/>
      <c r="Q813" s="182"/>
      <c r="R813" s="182"/>
      <c r="S813" s="182"/>
      <c r="T813" s="182"/>
      <c r="U813" s="182"/>
      <c r="V813" s="182"/>
      <c r="W813" s="182"/>
      <c r="X813" s="182"/>
      <c r="Y813" s="182"/>
    </row>
    <row r="814" spans="1:25" ht="15.75" hidden="1" customHeight="1" x14ac:dyDescent="0.2">
      <c r="A814" s="182"/>
      <c r="B814" s="175"/>
      <c r="C814" s="176"/>
      <c r="D814" s="176"/>
      <c r="E814" s="176"/>
      <c r="F814" s="123"/>
      <c r="G814" s="123"/>
      <c r="H814" s="123"/>
      <c r="I814" s="123"/>
      <c r="J814" s="174"/>
      <c r="K814" s="182"/>
      <c r="L814" s="182"/>
      <c r="M814" s="182"/>
      <c r="N814" s="182"/>
      <c r="O814" s="182"/>
      <c r="P814" s="182"/>
      <c r="Q814" s="182"/>
      <c r="R814" s="182"/>
      <c r="S814" s="182"/>
      <c r="T814" s="182"/>
      <c r="U814" s="182"/>
      <c r="V814" s="182"/>
      <c r="W814" s="182"/>
      <c r="X814" s="182"/>
      <c r="Y814" s="182"/>
    </row>
    <row r="815" spans="1:25" ht="15.75" hidden="1" customHeight="1" x14ac:dyDescent="0.2">
      <c r="A815" s="182"/>
      <c r="B815" s="175"/>
      <c r="C815" s="176"/>
      <c r="D815" s="176"/>
      <c r="E815" s="176"/>
      <c r="F815" s="123"/>
      <c r="G815" s="123"/>
      <c r="H815" s="123"/>
      <c r="I815" s="123"/>
      <c r="J815" s="174"/>
      <c r="K815" s="182"/>
      <c r="L815" s="182"/>
      <c r="M815" s="182"/>
      <c r="N815" s="182"/>
      <c r="O815" s="182"/>
      <c r="P815" s="182"/>
      <c r="Q815" s="182"/>
      <c r="R815" s="182"/>
      <c r="S815" s="182"/>
      <c r="T815" s="182"/>
      <c r="U815" s="182"/>
      <c r="V815" s="182"/>
      <c r="W815" s="182"/>
      <c r="X815" s="182"/>
      <c r="Y815" s="182"/>
    </row>
    <row r="816" spans="1:25" ht="15.75" hidden="1" customHeight="1" x14ac:dyDescent="0.2">
      <c r="A816" s="182"/>
      <c r="B816" s="175"/>
      <c r="C816" s="176"/>
      <c r="D816" s="176"/>
      <c r="E816" s="176"/>
      <c r="F816" s="123"/>
      <c r="G816" s="123"/>
      <c r="H816" s="123"/>
      <c r="I816" s="123"/>
      <c r="J816" s="174"/>
      <c r="K816" s="182"/>
      <c r="L816" s="182"/>
      <c r="M816" s="182"/>
      <c r="N816" s="182"/>
      <c r="O816" s="182"/>
      <c r="P816" s="182"/>
      <c r="Q816" s="182"/>
      <c r="R816" s="182"/>
      <c r="S816" s="182"/>
      <c r="T816" s="182"/>
      <c r="U816" s="182"/>
      <c r="V816" s="182"/>
      <c r="W816" s="182"/>
      <c r="X816" s="182"/>
      <c r="Y816" s="182"/>
    </row>
    <row r="817" spans="1:25" ht="15.75" hidden="1" customHeight="1" x14ac:dyDescent="0.2">
      <c r="A817" s="182"/>
      <c r="B817" s="175"/>
      <c r="C817" s="176"/>
      <c r="D817" s="176"/>
      <c r="E817" s="176"/>
      <c r="F817" s="123"/>
      <c r="G817" s="123"/>
      <c r="H817" s="123"/>
      <c r="I817" s="123"/>
      <c r="J817" s="174"/>
      <c r="K817" s="182"/>
      <c r="L817" s="182"/>
      <c r="M817" s="182"/>
      <c r="N817" s="182"/>
      <c r="O817" s="182"/>
      <c r="P817" s="182"/>
      <c r="Q817" s="182"/>
      <c r="R817" s="182"/>
      <c r="S817" s="182"/>
      <c r="T817" s="182"/>
      <c r="U817" s="182"/>
      <c r="V817" s="182"/>
      <c r="W817" s="182"/>
      <c r="X817" s="182"/>
      <c r="Y817" s="182"/>
    </row>
    <row r="818" spans="1:25" ht="15.75" hidden="1" customHeight="1" x14ac:dyDescent="0.2">
      <c r="A818" s="182"/>
      <c r="B818" s="175"/>
      <c r="C818" s="176"/>
      <c r="D818" s="176"/>
      <c r="E818" s="176"/>
      <c r="F818" s="123"/>
      <c r="G818" s="123"/>
      <c r="H818" s="123"/>
      <c r="I818" s="123"/>
      <c r="J818" s="174"/>
      <c r="K818" s="182"/>
      <c r="L818" s="182"/>
      <c r="M818" s="182"/>
      <c r="N818" s="182"/>
      <c r="O818" s="182"/>
      <c r="P818" s="182"/>
      <c r="Q818" s="182"/>
      <c r="R818" s="182"/>
      <c r="S818" s="182"/>
      <c r="T818" s="182"/>
      <c r="U818" s="182"/>
      <c r="V818" s="182"/>
      <c r="W818" s="182"/>
      <c r="X818" s="182"/>
      <c r="Y818" s="182"/>
    </row>
    <row r="819" spans="1:25" ht="15.75" hidden="1" customHeight="1" x14ac:dyDescent="0.2">
      <c r="A819" s="182"/>
      <c r="B819" s="175"/>
      <c r="C819" s="176"/>
      <c r="D819" s="176"/>
      <c r="E819" s="176"/>
      <c r="F819" s="123"/>
      <c r="G819" s="123"/>
      <c r="H819" s="123"/>
      <c r="I819" s="123"/>
      <c r="J819" s="174"/>
      <c r="K819" s="182"/>
      <c r="L819" s="182"/>
      <c r="M819" s="182"/>
      <c r="N819" s="182"/>
      <c r="O819" s="182"/>
      <c r="P819" s="182"/>
      <c r="Q819" s="182"/>
      <c r="R819" s="182"/>
      <c r="S819" s="182"/>
      <c r="T819" s="182"/>
      <c r="U819" s="182"/>
      <c r="V819" s="182"/>
      <c r="W819" s="182"/>
      <c r="X819" s="182"/>
      <c r="Y819" s="182"/>
    </row>
    <row r="820" spans="1:25" ht="15.75" hidden="1" customHeight="1" x14ac:dyDescent="0.2">
      <c r="A820" s="182"/>
      <c r="B820" s="175"/>
      <c r="C820" s="176"/>
      <c r="D820" s="176"/>
      <c r="E820" s="176"/>
      <c r="F820" s="123"/>
      <c r="G820" s="123"/>
      <c r="H820" s="123"/>
      <c r="I820" s="123"/>
      <c r="J820" s="174"/>
      <c r="K820" s="182"/>
      <c r="L820" s="182"/>
      <c r="M820" s="182"/>
      <c r="N820" s="182"/>
      <c r="O820" s="182"/>
      <c r="P820" s="182"/>
      <c r="Q820" s="182"/>
      <c r="R820" s="182"/>
      <c r="S820" s="182"/>
      <c r="T820" s="182"/>
      <c r="U820" s="182"/>
      <c r="V820" s="182"/>
      <c r="W820" s="182"/>
      <c r="X820" s="182"/>
      <c r="Y820" s="182"/>
    </row>
    <row r="821" spans="1:25" ht="15.75" hidden="1" customHeight="1" x14ac:dyDescent="0.2">
      <c r="A821" s="182"/>
      <c r="B821" s="175"/>
      <c r="C821" s="176"/>
      <c r="D821" s="176"/>
      <c r="E821" s="176"/>
      <c r="F821" s="123"/>
      <c r="G821" s="123"/>
      <c r="H821" s="123"/>
      <c r="I821" s="123"/>
      <c r="J821" s="174"/>
      <c r="K821" s="182"/>
      <c r="L821" s="182"/>
      <c r="M821" s="182"/>
      <c r="N821" s="182"/>
      <c r="O821" s="182"/>
      <c r="P821" s="182"/>
      <c r="Q821" s="182"/>
      <c r="R821" s="182"/>
      <c r="S821" s="182"/>
      <c r="T821" s="182"/>
      <c r="U821" s="182"/>
      <c r="V821" s="182"/>
      <c r="W821" s="182"/>
      <c r="X821" s="182"/>
      <c r="Y821" s="182"/>
    </row>
    <row r="822" spans="1:25" ht="15.75" hidden="1" customHeight="1" x14ac:dyDescent="0.2">
      <c r="A822" s="182"/>
      <c r="B822" s="175"/>
      <c r="C822" s="176"/>
      <c r="D822" s="176"/>
      <c r="E822" s="176"/>
      <c r="F822" s="123"/>
      <c r="G822" s="123"/>
      <c r="H822" s="123"/>
      <c r="I822" s="123"/>
      <c r="J822" s="174"/>
      <c r="K822" s="182"/>
      <c r="L822" s="182"/>
      <c r="M822" s="182"/>
      <c r="N822" s="182"/>
      <c r="O822" s="182"/>
      <c r="P822" s="182"/>
      <c r="Q822" s="182"/>
      <c r="R822" s="182"/>
      <c r="S822" s="182"/>
      <c r="T822" s="182"/>
      <c r="U822" s="182"/>
      <c r="V822" s="182"/>
      <c r="W822" s="182"/>
      <c r="X822" s="182"/>
      <c r="Y822" s="182"/>
    </row>
    <row r="823" spans="1:25" ht="15.75" hidden="1" customHeight="1" x14ac:dyDescent="0.2">
      <c r="A823" s="182"/>
      <c r="B823" s="175"/>
      <c r="C823" s="176"/>
      <c r="D823" s="176"/>
      <c r="E823" s="176"/>
      <c r="F823" s="123"/>
      <c r="G823" s="123"/>
      <c r="H823" s="123"/>
      <c r="I823" s="123"/>
      <c r="J823" s="174"/>
      <c r="K823" s="182"/>
      <c r="L823" s="182"/>
      <c r="M823" s="182"/>
      <c r="N823" s="182"/>
      <c r="O823" s="182"/>
      <c r="P823" s="182"/>
      <c r="Q823" s="182"/>
      <c r="R823" s="182"/>
      <c r="S823" s="182"/>
      <c r="T823" s="182"/>
      <c r="U823" s="182"/>
      <c r="V823" s="182"/>
      <c r="W823" s="182"/>
      <c r="X823" s="182"/>
      <c r="Y823" s="182"/>
    </row>
    <row r="824" spans="1:25" ht="15.75" hidden="1" customHeight="1" x14ac:dyDescent="0.2">
      <c r="A824" s="182"/>
      <c r="B824" s="175"/>
      <c r="C824" s="176"/>
      <c r="D824" s="176"/>
      <c r="E824" s="176"/>
      <c r="F824" s="123"/>
      <c r="G824" s="123"/>
      <c r="H824" s="123"/>
      <c r="I824" s="123"/>
      <c r="J824" s="174"/>
      <c r="K824" s="182"/>
      <c r="L824" s="182"/>
      <c r="M824" s="182"/>
      <c r="N824" s="182"/>
      <c r="O824" s="182"/>
      <c r="P824" s="182"/>
      <c r="Q824" s="182"/>
      <c r="R824" s="182"/>
      <c r="S824" s="182"/>
      <c r="T824" s="182"/>
      <c r="U824" s="182"/>
      <c r="V824" s="182"/>
      <c r="W824" s="182"/>
      <c r="X824" s="182"/>
      <c r="Y824" s="182"/>
    </row>
    <row r="825" spans="1:25" ht="15.75" hidden="1" customHeight="1" x14ac:dyDescent="0.2">
      <c r="A825" s="182"/>
      <c r="B825" s="175"/>
      <c r="C825" s="176"/>
      <c r="D825" s="176"/>
      <c r="E825" s="176"/>
      <c r="F825" s="123"/>
      <c r="G825" s="123"/>
      <c r="H825" s="123"/>
      <c r="I825" s="123"/>
      <c r="J825" s="174"/>
      <c r="K825" s="182"/>
      <c r="L825" s="182"/>
      <c r="M825" s="182"/>
      <c r="N825" s="182"/>
      <c r="O825" s="182"/>
      <c r="P825" s="182"/>
      <c r="Q825" s="182"/>
      <c r="R825" s="182"/>
      <c r="S825" s="182"/>
      <c r="T825" s="182"/>
      <c r="U825" s="182"/>
      <c r="V825" s="182"/>
      <c r="W825" s="182"/>
      <c r="X825" s="182"/>
      <c r="Y825" s="182"/>
    </row>
    <row r="826" spans="1:25" ht="15.75" hidden="1" customHeight="1" x14ac:dyDescent="0.2">
      <c r="A826" s="182"/>
      <c r="B826" s="175"/>
      <c r="C826" s="176"/>
      <c r="D826" s="176"/>
      <c r="E826" s="176"/>
      <c r="F826" s="123"/>
      <c r="G826" s="123"/>
      <c r="H826" s="123"/>
      <c r="I826" s="123"/>
      <c r="J826" s="174"/>
      <c r="K826" s="182"/>
      <c r="L826" s="182"/>
      <c r="M826" s="182"/>
      <c r="N826" s="182"/>
      <c r="O826" s="182"/>
      <c r="P826" s="182"/>
      <c r="Q826" s="182"/>
      <c r="R826" s="182"/>
      <c r="S826" s="182"/>
      <c r="T826" s="182"/>
      <c r="U826" s="182"/>
      <c r="V826" s="182"/>
      <c r="W826" s="182"/>
      <c r="X826" s="182"/>
      <c r="Y826" s="182"/>
    </row>
    <row r="827" spans="1:25" ht="15.75" hidden="1" customHeight="1" x14ac:dyDescent="0.2">
      <c r="A827" s="182"/>
      <c r="B827" s="175"/>
      <c r="C827" s="176"/>
      <c r="D827" s="176"/>
      <c r="E827" s="176"/>
      <c r="F827" s="123"/>
      <c r="G827" s="123"/>
      <c r="H827" s="123"/>
      <c r="I827" s="123"/>
      <c r="J827" s="174"/>
      <c r="K827" s="182"/>
      <c r="L827" s="182"/>
      <c r="M827" s="182"/>
      <c r="N827" s="182"/>
      <c r="O827" s="182"/>
      <c r="P827" s="182"/>
      <c r="Q827" s="182"/>
      <c r="R827" s="182"/>
      <c r="S827" s="182"/>
      <c r="T827" s="182"/>
      <c r="U827" s="182"/>
      <c r="V827" s="182"/>
      <c r="W827" s="182"/>
      <c r="X827" s="182"/>
      <c r="Y827" s="182"/>
    </row>
    <row r="828" spans="1:25" ht="15.75" hidden="1" customHeight="1" x14ac:dyDescent="0.2">
      <c r="A828" s="182"/>
      <c r="B828" s="175"/>
      <c r="C828" s="176"/>
      <c r="D828" s="176"/>
      <c r="E828" s="176"/>
      <c r="F828" s="123"/>
      <c r="G828" s="123"/>
      <c r="H828" s="123"/>
      <c r="I828" s="123"/>
      <c r="J828" s="174"/>
      <c r="K828" s="182"/>
      <c r="L828" s="182"/>
      <c r="M828" s="182"/>
      <c r="N828" s="182"/>
      <c r="O828" s="182"/>
      <c r="P828" s="182"/>
      <c r="Q828" s="182"/>
      <c r="R828" s="182"/>
      <c r="S828" s="182"/>
      <c r="T828" s="182"/>
      <c r="U828" s="182"/>
      <c r="V828" s="182"/>
      <c r="W828" s="182"/>
      <c r="X828" s="182"/>
      <c r="Y828" s="182"/>
    </row>
    <row r="829" spans="1:25" ht="15.75" hidden="1" customHeight="1" x14ac:dyDescent="0.2">
      <c r="A829" s="182"/>
      <c r="B829" s="175"/>
      <c r="C829" s="176"/>
      <c r="D829" s="176"/>
      <c r="E829" s="176"/>
      <c r="F829" s="123"/>
      <c r="G829" s="123"/>
      <c r="H829" s="123"/>
      <c r="I829" s="123"/>
      <c r="J829" s="174"/>
      <c r="K829" s="182"/>
      <c r="L829" s="182"/>
      <c r="M829" s="182"/>
      <c r="N829" s="182"/>
      <c r="O829" s="182"/>
      <c r="P829" s="182"/>
      <c r="Q829" s="182"/>
      <c r="R829" s="182"/>
      <c r="S829" s="182"/>
      <c r="T829" s="182"/>
      <c r="U829" s="182"/>
      <c r="V829" s="182"/>
      <c r="W829" s="182"/>
      <c r="X829" s="182"/>
      <c r="Y829" s="182"/>
    </row>
    <row r="830" spans="1:25" ht="15.75" hidden="1" customHeight="1" x14ac:dyDescent="0.2">
      <c r="A830" s="182"/>
      <c r="B830" s="175"/>
      <c r="C830" s="176"/>
      <c r="D830" s="176"/>
      <c r="E830" s="176"/>
      <c r="F830" s="123"/>
      <c r="G830" s="123"/>
      <c r="H830" s="123"/>
      <c r="I830" s="123"/>
      <c r="J830" s="174"/>
      <c r="K830" s="182"/>
      <c r="L830" s="182"/>
      <c r="M830" s="182"/>
      <c r="N830" s="182"/>
      <c r="O830" s="182"/>
      <c r="P830" s="182"/>
      <c r="Q830" s="182"/>
      <c r="R830" s="182"/>
      <c r="S830" s="182"/>
      <c r="T830" s="182"/>
      <c r="U830" s="182"/>
      <c r="V830" s="182"/>
      <c r="W830" s="182"/>
      <c r="X830" s="182"/>
      <c r="Y830" s="182"/>
    </row>
    <row r="831" spans="1:25" ht="15.75" hidden="1" customHeight="1" x14ac:dyDescent="0.2">
      <c r="A831" s="182"/>
      <c r="B831" s="175"/>
      <c r="C831" s="176"/>
      <c r="D831" s="176"/>
      <c r="E831" s="176"/>
      <c r="F831" s="123"/>
      <c r="G831" s="123"/>
      <c r="H831" s="123"/>
      <c r="I831" s="123"/>
      <c r="J831" s="174"/>
      <c r="K831" s="182"/>
      <c r="L831" s="182"/>
      <c r="M831" s="182"/>
      <c r="N831" s="182"/>
      <c r="O831" s="182"/>
      <c r="P831" s="182"/>
      <c r="Q831" s="182"/>
      <c r="R831" s="182"/>
      <c r="S831" s="182"/>
      <c r="T831" s="182"/>
      <c r="U831" s="182"/>
      <c r="V831" s="182"/>
      <c r="W831" s="182"/>
      <c r="X831" s="182"/>
      <c r="Y831" s="182"/>
    </row>
    <row r="832" spans="1:25" ht="15.75" hidden="1" customHeight="1" x14ac:dyDescent="0.2">
      <c r="A832" s="182"/>
      <c r="B832" s="175"/>
      <c r="C832" s="176"/>
      <c r="D832" s="176"/>
      <c r="E832" s="176"/>
      <c r="F832" s="123"/>
      <c r="G832" s="123"/>
      <c r="H832" s="123"/>
      <c r="I832" s="123"/>
      <c r="J832" s="174"/>
      <c r="K832" s="182"/>
      <c r="L832" s="182"/>
      <c r="M832" s="182"/>
      <c r="N832" s="182"/>
      <c r="O832" s="182"/>
      <c r="P832" s="182"/>
      <c r="Q832" s="182"/>
      <c r="R832" s="182"/>
      <c r="S832" s="182"/>
      <c r="T832" s="182"/>
      <c r="U832" s="182"/>
      <c r="V832" s="182"/>
      <c r="W832" s="182"/>
      <c r="X832" s="182"/>
      <c r="Y832" s="182"/>
    </row>
    <row r="833" spans="1:25" ht="15.75" hidden="1" customHeight="1" x14ac:dyDescent="0.2">
      <c r="A833" s="182"/>
      <c r="B833" s="175"/>
      <c r="C833" s="176"/>
      <c r="D833" s="176"/>
      <c r="E833" s="176"/>
      <c r="F833" s="123"/>
      <c r="G833" s="123"/>
      <c r="H833" s="123"/>
      <c r="I833" s="123"/>
      <c r="J833" s="174"/>
      <c r="K833" s="182"/>
      <c r="L833" s="182"/>
      <c r="M833" s="182"/>
      <c r="N833" s="182"/>
      <c r="O833" s="182"/>
      <c r="P833" s="182"/>
      <c r="Q833" s="182"/>
      <c r="R833" s="182"/>
      <c r="S833" s="182"/>
      <c r="T833" s="182"/>
      <c r="U833" s="182"/>
      <c r="V833" s="182"/>
      <c r="W833" s="182"/>
      <c r="X833" s="182"/>
      <c r="Y833" s="182"/>
    </row>
    <row r="834" spans="1:25" ht="15.75" hidden="1" customHeight="1" x14ac:dyDescent="0.2">
      <c r="A834" s="182"/>
      <c r="B834" s="175"/>
      <c r="C834" s="176"/>
      <c r="D834" s="176"/>
      <c r="E834" s="176"/>
      <c r="F834" s="123"/>
      <c r="G834" s="123"/>
      <c r="H834" s="123"/>
      <c r="I834" s="123"/>
      <c r="J834" s="174"/>
      <c r="K834" s="182"/>
      <c r="L834" s="182"/>
      <c r="M834" s="182"/>
      <c r="N834" s="182"/>
      <c r="O834" s="182"/>
      <c r="P834" s="182"/>
      <c r="Q834" s="182"/>
      <c r="R834" s="182"/>
      <c r="S834" s="182"/>
      <c r="T834" s="182"/>
      <c r="U834" s="182"/>
      <c r="V834" s="182"/>
      <c r="W834" s="182"/>
      <c r="X834" s="182"/>
      <c r="Y834" s="182"/>
    </row>
    <row r="835" spans="1:25" ht="15.75" hidden="1" customHeight="1" x14ac:dyDescent="0.2">
      <c r="A835" s="182"/>
      <c r="B835" s="175"/>
      <c r="C835" s="176"/>
      <c r="D835" s="176"/>
      <c r="E835" s="176"/>
      <c r="F835" s="123"/>
      <c r="G835" s="123"/>
      <c r="H835" s="123"/>
      <c r="I835" s="123"/>
      <c r="J835" s="174"/>
      <c r="K835" s="182"/>
      <c r="L835" s="182"/>
      <c r="M835" s="182"/>
      <c r="N835" s="182"/>
      <c r="O835" s="182"/>
      <c r="P835" s="182"/>
      <c r="Q835" s="182"/>
      <c r="R835" s="182"/>
      <c r="S835" s="182"/>
      <c r="T835" s="182"/>
      <c r="U835" s="182"/>
      <c r="V835" s="182"/>
      <c r="W835" s="182"/>
      <c r="X835" s="182"/>
      <c r="Y835" s="182"/>
    </row>
    <row r="836" spans="1:25" ht="15.75" hidden="1" customHeight="1" x14ac:dyDescent="0.2">
      <c r="A836" s="182"/>
      <c r="B836" s="175"/>
      <c r="C836" s="176"/>
      <c r="D836" s="176"/>
      <c r="E836" s="176"/>
      <c r="F836" s="123"/>
      <c r="G836" s="123"/>
      <c r="H836" s="123"/>
      <c r="I836" s="123"/>
      <c r="J836" s="174"/>
      <c r="K836" s="182"/>
      <c r="L836" s="182"/>
      <c r="M836" s="182"/>
      <c r="N836" s="182"/>
      <c r="O836" s="182"/>
      <c r="P836" s="182"/>
      <c r="Q836" s="182"/>
      <c r="R836" s="182"/>
      <c r="S836" s="182"/>
      <c r="T836" s="182"/>
      <c r="U836" s="182"/>
      <c r="V836" s="182"/>
      <c r="W836" s="182"/>
      <c r="X836" s="182"/>
      <c r="Y836" s="182"/>
    </row>
    <row r="837" spans="1:25" ht="15.75" hidden="1" customHeight="1" x14ac:dyDescent="0.2">
      <c r="A837" s="182"/>
      <c r="B837" s="175"/>
      <c r="C837" s="176"/>
      <c r="D837" s="176"/>
      <c r="E837" s="176"/>
      <c r="F837" s="123"/>
      <c r="G837" s="123"/>
      <c r="H837" s="123"/>
      <c r="I837" s="123"/>
      <c r="J837" s="174"/>
      <c r="K837" s="182"/>
      <c r="L837" s="182"/>
      <c r="M837" s="182"/>
      <c r="N837" s="182"/>
      <c r="O837" s="182"/>
      <c r="P837" s="182"/>
      <c r="Q837" s="182"/>
      <c r="R837" s="182"/>
      <c r="S837" s="182"/>
      <c r="T837" s="182"/>
      <c r="U837" s="182"/>
      <c r="V837" s="182"/>
      <c r="W837" s="182"/>
      <c r="X837" s="182"/>
      <c r="Y837" s="182"/>
    </row>
    <row r="838" spans="1:25" ht="15.75" hidden="1" customHeight="1" x14ac:dyDescent="0.2">
      <c r="A838" s="182"/>
      <c r="B838" s="175"/>
      <c r="C838" s="176"/>
      <c r="D838" s="176"/>
      <c r="E838" s="176"/>
      <c r="F838" s="123"/>
      <c r="G838" s="123"/>
      <c r="H838" s="123"/>
      <c r="I838" s="123"/>
      <c r="J838" s="174"/>
      <c r="K838" s="182"/>
      <c r="L838" s="182"/>
      <c r="M838" s="182"/>
      <c r="N838" s="182"/>
      <c r="O838" s="182"/>
      <c r="P838" s="182"/>
      <c r="Q838" s="182"/>
      <c r="R838" s="182"/>
      <c r="S838" s="182"/>
      <c r="T838" s="182"/>
      <c r="U838" s="182"/>
      <c r="V838" s="182"/>
      <c r="W838" s="182"/>
      <c r="X838" s="182"/>
      <c r="Y838" s="182"/>
    </row>
    <row r="839" spans="1:25" ht="15.75" hidden="1" customHeight="1" x14ac:dyDescent="0.2">
      <c r="A839" s="182"/>
      <c r="B839" s="175"/>
      <c r="C839" s="176"/>
      <c r="D839" s="176"/>
      <c r="E839" s="176"/>
      <c r="F839" s="123"/>
      <c r="G839" s="123"/>
      <c r="H839" s="123"/>
      <c r="I839" s="123"/>
      <c r="J839" s="174"/>
      <c r="K839" s="182"/>
      <c r="L839" s="182"/>
      <c r="M839" s="182"/>
      <c r="N839" s="182"/>
      <c r="O839" s="182"/>
      <c r="P839" s="182"/>
      <c r="Q839" s="182"/>
      <c r="R839" s="182"/>
      <c r="S839" s="182"/>
      <c r="T839" s="182"/>
      <c r="U839" s="182"/>
      <c r="V839" s="182"/>
      <c r="W839" s="182"/>
      <c r="X839" s="182"/>
      <c r="Y839" s="182"/>
    </row>
    <row r="840" spans="1:25" ht="15.75" hidden="1" customHeight="1" x14ac:dyDescent="0.2">
      <c r="A840" s="182"/>
      <c r="B840" s="175"/>
      <c r="C840" s="176"/>
      <c r="D840" s="176"/>
      <c r="E840" s="176"/>
      <c r="F840" s="123"/>
      <c r="G840" s="123"/>
      <c r="H840" s="123"/>
      <c r="I840" s="123"/>
      <c r="J840" s="174"/>
      <c r="K840" s="182"/>
      <c r="L840" s="182"/>
      <c r="M840" s="182"/>
      <c r="N840" s="182"/>
      <c r="O840" s="182"/>
      <c r="P840" s="182"/>
      <c r="Q840" s="182"/>
      <c r="R840" s="182"/>
      <c r="S840" s="182"/>
      <c r="T840" s="182"/>
      <c r="U840" s="182"/>
      <c r="V840" s="182"/>
      <c r="W840" s="182"/>
      <c r="X840" s="182"/>
      <c r="Y840" s="182"/>
    </row>
    <row r="841" spans="1:25" ht="15.75" hidden="1" customHeight="1" x14ac:dyDescent="0.2">
      <c r="A841" s="182"/>
      <c r="B841" s="175"/>
      <c r="C841" s="176"/>
      <c r="D841" s="176"/>
      <c r="E841" s="176"/>
      <c r="F841" s="123"/>
      <c r="G841" s="123"/>
      <c r="H841" s="123"/>
      <c r="I841" s="123"/>
      <c r="J841" s="174"/>
      <c r="K841" s="182"/>
      <c r="L841" s="182"/>
      <c r="M841" s="182"/>
      <c r="N841" s="182"/>
      <c r="O841" s="182"/>
      <c r="P841" s="182"/>
      <c r="Q841" s="182"/>
      <c r="R841" s="182"/>
      <c r="S841" s="182"/>
      <c r="T841" s="182"/>
      <c r="U841" s="182"/>
      <c r="V841" s="182"/>
      <c r="W841" s="182"/>
      <c r="X841" s="182"/>
      <c r="Y841" s="182"/>
    </row>
    <row r="842" spans="1:25" ht="15.75" hidden="1" customHeight="1" x14ac:dyDescent="0.2">
      <c r="A842" s="182"/>
      <c r="B842" s="175"/>
      <c r="C842" s="176"/>
      <c r="D842" s="176"/>
      <c r="E842" s="176"/>
      <c r="F842" s="123"/>
      <c r="G842" s="123"/>
      <c r="H842" s="123"/>
      <c r="I842" s="123"/>
      <c r="J842" s="174"/>
      <c r="K842" s="182"/>
      <c r="L842" s="182"/>
      <c r="M842" s="182"/>
      <c r="N842" s="182"/>
      <c r="O842" s="182"/>
      <c r="P842" s="182"/>
      <c r="Q842" s="182"/>
      <c r="R842" s="182"/>
      <c r="S842" s="182"/>
      <c r="T842" s="182"/>
      <c r="U842" s="182"/>
      <c r="V842" s="182"/>
      <c r="W842" s="182"/>
      <c r="X842" s="182"/>
      <c r="Y842" s="182"/>
    </row>
    <row r="843" spans="1:25" ht="15.75" hidden="1" customHeight="1" x14ac:dyDescent="0.2">
      <c r="A843" s="182"/>
      <c r="B843" s="175"/>
      <c r="C843" s="176"/>
      <c r="D843" s="176"/>
      <c r="E843" s="176"/>
      <c r="F843" s="123"/>
      <c r="G843" s="123"/>
      <c r="H843" s="123"/>
      <c r="I843" s="123"/>
      <c r="J843" s="174"/>
      <c r="K843" s="182"/>
      <c r="L843" s="182"/>
      <c r="M843" s="182"/>
      <c r="N843" s="182"/>
      <c r="O843" s="182"/>
      <c r="P843" s="182"/>
      <c r="Q843" s="182"/>
      <c r="R843" s="182"/>
      <c r="S843" s="182"/>
      <c r="T843" s="182"/>
      <c r="U843" s="182"/>
      <c r="V843" s="182"/>
      <c r="W843" s="182"/>
      <c r="X843" s="182"/>
      <c r="Y843" s="182"/>
    </row>
    <row r="844" spans="1:25" ht="15.75" hidden="1" customHeight="1" x14ac:dyDescent="0.2">
      <c r="A844" s="182"/>
      <c r="B844" s="175"/>
      <c r="C844" s="176"/>
      <c r="D844" s="176"/>
      <c r="E844" s="176"/>
      <c r="F844" s="123"/>
      <c r="G844" s="123"/>
      <c r="H844" s="123"/>
      <c r="I844" s="123"/>
      <c r="J844" s="174"/>
      <c r="K844" s="182"/>
      <c r="L844" s="182"/>
      <c r="M844" s="182"/>
      <c r="N844" s="182"/>
      <c r="O844" s="182"/>
      <c r="P844" s="182"/>
      <c r="Q844" s="182"/>
      <c r="R844" s="182"/>
      <c r="S844" s="182"/>
      <c r="T844" s="182"/>
      <c r="U844" s="182"/>
      <c r="V844" s="182"/>
      <c r="W844" s="182"/>
      <c r="X844" s="182"/>
      <c r="Y844" s="182"/>
    </row>
    <row r="845" spans="1:25" ht="15.75" hidden="1" customHeight="1" x14ac:dyDescent="0.2">
      <c r="A845" s="182"/>
      <c r="B845" s="175"/>
      <c r="C845" s="176"/>
      <c r="D845" s="176"/>
      <c r="E845" s="176"/>
      <c r="F845" s="123"/>
      <c r="G845" s="123"/>
      <c r="H845" s="123"/>
      <c r="I845" s="123"/>
      <c r="J845" s="174"/>
      <c r="K845" s="182"/>
      <c r="L845" s="182"/>
      <c r="M845" s="182"/>
      <c r="N845" s="182"/>
      <c r="O845" s="182"/>
      <c r="P845" s="182"/>
      <c r="Q845" s="182"/>
      <c r="R845" s="182"/>
      <c r="S845" s="182"/>
      <c r="T845" s="182"/>
      <c r="U845" s="182"/>
      <c r="V845" s="182"/>
      <c r="W845" s="182"/>
      <c r="X845" s="182"/>
      <c r="Y845" s="182"/>
    </row>
    <row r="846" spans="1:25" ht="15.75" hidden="1" customHeight="1" x14ac:dyDescent="0.2">
      <c r="A846" s="182"/>
      <c r="B846" s="175"/>
      <c r="C846" s="176"/>
      <c r="D846" s="176"/>
      <c r="E846" s="176"/>
      <c r="F846" s="123"/>
      <c r="G846" s="123"/>
      <c r="H846" s="123"/>
      <c r="I846" s="123"/>
      <c r="J846" s="174"/>
      <c r="K846" s="182"/>
      <c r="L846" s="182"/>
      <c r="M846" s="182"/>
      <c r="N846" s="182"/>
      <c r="O846" s="182"/>
      <c r="P846" s="182"/>
      <c r="Q846" s="182"/>
      <c r="R846" s="182"/>
      <c r="S846" s="182"/>
      <c r="T846" s="182"/>
      <c r="U846" s="182"/>
      <c r="V846" s="182"/>
      <c r="W846" s="182"/>
      <c r="X846" s="182"/>
      <c r="Y846" s="182"/>
    </row>
    <row r="847" spans="1:25" ht="15.75" hidden="1" customHeight="1" x14ac:dyDescent="0.2">
      <c r="A847" s="182"/>
      <c r="B847" s="175"/>
      <c r="C847" s="176"/>
      <c r="D847" s="176"/>
      <c r="E847" s="176"/>
      <c r="F847" s="123"/>
      <c r="G847" s="123"/>
      <c r="H847" s="123"/>
      <c r="I847" s="123"/>
      <c r="J847" s="174"/>
      <c r="K847" s="182"/>
      <c r="L847" s="182"/>
      <c r="M847" s="182"/>
      <c r="N847" s="182"/>
      <c r="O847" s="182"/>
      <c r="P847" s="182"/>
      <c r="Q847" s="182"/>
      <c r="R847" s="182"/>
      <c r="S847" s="182"/>
      <c r="T847" s="182"/>
      <c r="U847" s="182"/>
      <c r="V847" s="182"/>
      <c r="W847" s="182"/>
      <c r="X847" s="182"/>
      <c r="Y847" s="182"/>
    </row>
    <row r="848" spans="1:25" ht="15.75" hidden="1" customHeight="1" x14ac:dyDescent="0.2">
      <c r="A848" s="182"/>
      <c r="B848" s="175"/>
      <c r="C848" s="176"/>
      <c r="D848" s="176"/>
      <c r="E848" s="176"/>
      <c r="F848" s="123"/>
      <c r="G848" s="123"/>
      <c r="H848" s="123"/>
      <c r="I848" s="123"/>
      <c r="J848" s="174"/>
      <c r="K848" s="182"/>
      <c r="L848" s="182"/>
      <c r="M848" s="182"/>
      <c r="N848" s="182"/>
      <c r="O848" s="182"/>
      <c r="P848" s="182"/>
      <c r="Q848" s="182"/>
      <c r="R848" s="182"/>
      <c r="S848" s="182"/>
      <c r="T848" s="182"/>
      <c r="U848" s="182"/>
      <c r="V848" s="182"/>
      <c r="W848" s="182"/>
      <c r="X848" s="182"/>
      <c r="Y848" s="182"/>
    </row>
    <row r="849" spans="1:25" ht="15.75" hidden="1" customHeight="1" x14ac:dyDescent="0.2">
      <c r="A849" s="182"/>
      <c r="B849" s="175"/>
      <c r="C849" s="176"/>
      <c r="D849" s="176"/>
      <c r="E849" s="176"/>
      <c r="F849" s="123"/>
      <c r="G849" s="123"/>
      <c r="H849" s="123"/>
      <c r="I849" s="123"/>
      <c r="J849" s="174"/>
      <c r="K849" s="182"/>
      <c r="L849" s="182"/>
      <c r="M849" s="182"/>
      <c r="N849" s="182"/>
      <c r="O849" s="182"/>
      <c r="P849" s="182"/>
      <c r="Q849" s="182"/>
      <c r="R849" s="182"/>
      <c r="S849" s="182"/>
      <c r="T849" s="182"/>
      <c r="U849" s="182"/>
      <c r="V849" s="182"/>
      <c r="W849" s="182"/>
      <c r="X849" s="182"/>
      <c r="Y849" s="182"/>
    </row>
    <row r="850" spans="1:25" ht="15.75" hidden="1" customHeight="1" x14ac:dyDescent="0.2">
      <c r="A850" s="182"/>
      <c r="B850" s="175"/>
      <c r="C850" s="176"/>
      <c r="D850" s="176"/>
      <c r="E850" s="176"/>
      <c r="F850" s="123"/>
      <c r="G850" s="123"/>
      <c r="H850" s="123"/>
      <c r="I850" s="123"/>
      <c r="J850" s="174"/>
      <c r="K850" s="182"/>
      <c r="L850" s="182"/>
      <c r="M850" s="182"/>
      <c r="N850" s="182"/>
      <c r="O850" s="182"/>
      <c r="P850" s="182"/>
      <c r="Q850" s="182"/>
      <c r="R850" s="182"/>
      <c r="S850" s="182"/>
      <c r="T850" s="182"/>
      <c r="U850" s="182"/>
      <c r="V850" s="182"/>
      <c r="W850" s="182"/>
      <c r="X850" s="182"/>
      <c r="Y850" s="182"/>
    </row>
    <row r="851" spans="1:25" ht="15.75" hidden="1" customHeight="1" x14ac:dyDescent="0.2">
      <c r="A851" s="182"/>
      <c r="B851" s="175"/>
      <c r="C851" s="176"/>
      <c r="D851" s="176"/>
      <c r="E851" s="176"/>
      <c r="F851" s="123"/>
      <c r="G851" s="123"/>
      <c r="H851" s="123"/>
      <c r="I851" s="123"/>
      <c r="J851" s="174"/>
      <c r="K851" s="182"/>
      <c r="L851" s="182"/>
      <c r="M851" s="182"/>
      <c r="N851" s="182"/>
      <c r="O851" s="182"/>
      <c r="P851" s="182"/>
      <c r="Q851" s="182"/>
      <c r="R851" s="182"/>
      <c r="S851" s="182"/>
      <c r="T851" s="182"/>
      <c r="U851" s="182"/>
      <c r="V851" s="182"/>
      <c r="W851" s="182"/>
      <c r="X851" s="182"/>
      <c r="Y851" s="182"/>
    </row>
    <row r="852" spans="1:25" ht="15.75" hidden="1" customHeight="1" x14ac:dyDescent="0.2">
      <c r="A852" s="182"/>
      <c r="B852" s="175"/>
      <c r="C852" s="176"/>
      <c r="D852" s="176"/>
      <c r="E852" s="176"/>
      <c r="F852" s="123"/>
      <c r="G852" s="123"/>
      <c r="H852" s="123"/>
      <c r="I852" s="123"/>
      <c r="J852" s="174"/>
      <c r="K852" s="182"/>
      <c r="L852" s="182"/>
      <c r="M852" s="182"/>
      <c r="N852" s="182"/>
      <c r="O852" s="182"/>
      <c r="P852" s="182"/>
      <c r="Q852" s="182"/>
      <c r="R852" s="182"/>
      <c r="S852" s="182"/>
      <c r="T852" s="182"/>
      <c r="U852" s="182"/>
      <c r="V852" s="182"/>
      <c r="W852" s="182"/>
      <c r="X852" s="182"/>
      <c r="Y852" s="182"/>
    </row>
    <row r="853" spans="1:25" ht="15.75" hidden="1" customHeight="1" x14ac:dyDescent="0.2">
      <c r="A853" s="182"/>
      <c r="B853" s="175"/>
      <c r="C853" s="176"/>
      <c r="D853" s="176"/>
      <c r="E853" s="176"/>
      <c r="F853" s="123"/>
      <c r="G853" s="123"/>
      <c r="H853" s="123"/>
      <c r="I853" s="123"/>
      <c r="J853" s="174"/>
      <c r="K853" s="182"/>
      <c r="L853" s="182"/>
      <c r="M853" s="182"/>
      <c r="N853" s="182"/>
      <c r="O853" s="182"/>
      <c r="P853" s="182"/>
      <c r="Q853" s="182"/>
      <c r="R853" s="182"/>
      <c r="S853" s="182"/>
      <c r="T853" s="182"/>
      <c r="U853" s="182"/>
      <c r="V853" s="182"/>
      <c r="W853" s="182"/>
      <c r="X853" s="182"/>
      <c r="Y853" s="182"/>
    </row>
    <row r="854" spans="1:25" ht="15.75" hidden="1" customHeight="1" x14ac:dyDescent="0.2">
      <c r="A854" s="182"/>
      <c r="B854" s="175"/>
      <c r="C854" s="176"/>
      <c r="D854" s="176"/>
      <c r="E854" s="176"/>
      <c r="F854" s="123"/>
      <c r="G854" s="123"/>
      <c r="H854" s="123"/>
      <c r="I854" s="123"/>
      <c r="J854" s="174"/>
      <c r="K854" s="182"/>
      <c r="L854" s="182"/>
      <c r="M854" s="182"/>
      <c r="N854" s="182"/>
      <c r="O854" s="182"/>
      <c r="P854" s="182"/>
      <c r="Q854" s="182"/>
      <c r="R854" s="182"/>
      <c r="S854" s="182"/>
      <c r="T854" s="182"/>
      <c r="U854" s="182"/>
      <c r="V854" s="182"/>
      <c r="W854" s="182"/>
      <c r="X854" s="182"/>
      <c r="Y854" s="182"/>
    </row>
    <row r="855" spans="1:25" ht="15.75" hidden="1" customHeight="1" x14ac:dyDescent="0.2">
      <c r="A855" s="182"/>
      <c r="B855" s="175"/>
      <c r="C855" s="176"/>
      <c r="D855" s="176"/>
      <c r="E855" s="176"/>
      <c r="F855" s="123"/>
      <c r="G855" s="123"/>
      <c r="H855" s="123"/>
      <c r="I855" s="123"/>
      <c r="J855" s="174"/>
      <c r="K855" s="182"/>
      <c r="L855" s="182"/>
      <c r="M855" s="182"/>
      <c r="N855" s="182"/>
      <c r="O855" s="182"/>
      <c r="P855" s="182"/>
      <c r="Q855" s="182"/>
      <c r="R855" s="182"/>
      <c r="S855" s="182"/>
      <c r="T855" s="182"/>
      <c r="U855" s="182"/>
      <c r="V855" s="182"/>
      <c r="W855" s="182"/>
      <c r="X855" s="182"/>
      <c r="Y855" s="182"/>
    </row>
    <row r="856" spans="1:25" ht="15.75" hidden="1" customHeight="1" x14ac:dyDescent="0.2">
      <c r="A856" s="182"/>
      <c r="B856" s="175"/>
      <c r="C856" s="176"/>
      <c r="D856" s="176"/>
      <c r="E856" s="176"/>
      <c r="F856" s="123"/>
      <c r="G856" s="123"/>
      <c r="H856" s="123"/>
      <c r="I856" s="123"/>
      <c r="J856" s="174"/>
      <c r="K856" s="182"/>
      <c r="L856" s="182"/>
      <c r="M856" s="182"/>
      <c r="N856" s="182"/>
      <c r="O856" s="182"/>
      <c r="P856" s="182"/>
      <c r="Q856" s="182"/>
      <c r="R856" s="182"/>
      <c r="S856" s="182"/>
      <c r="T856" s="182"/>
      <c r="U856" s="182"/>
      <c r="V856" s="182"/>
      <c r="W856" s="182"/>
      <c r="X856" s="182"/>
      <c r="Y856" s="182"/>
    </row>
    <row r="857" spans="1:25" ht="15.75" hidden="1" customHeight="1" x14ac:dyDescent="0.2">
      <c r="A857" s="182"/>
      <c r="B857" s="175"/>
      <c r="C857" s="176"/>
      <c r="D857" s="176"/>
      <c r="E857" s="176"/>
      <c r="F857" s="123"/>
      <c r="G857" s="123"/>
      <c r="H857" s="123"/>
      <c r="I857" s="123"/>
      <c r="J857" s="174"/>
      <c r="K857" s="182"/>
      <c r="L857" s="182"/>
      <c r="M857" s="182"/>
      <c r="N857" s="182"/>
      <c r="O857" s="182"/>
      <c r="P857" s="182"/>
      <c r="Q857" s="182"/>
      <c r="R857" s="182"/>
      <c r="S857" s="182"/>
      <c r="T857" s="182"/>
      <c r="U857" s="182"/>
      <c r="V857" s="182"/>
      <c r="W857" s="182"/>
      <c r="X857" s="182"/>
      <c r="Y857" s="182"/>
    </row>
    <row r="858" spans="1:25" ht="15.75" hidden="1" customHeight="1" x14ac:dyDescent="0.2">
      <c r="A858" s="182"/>
      <c r="B858" s="175"/>
      <c r="C858" s="176"/>
      <c r="D858" s="176"/>
      <c r="E858" s="176"/>
      <c r="F858" s="123"/>
      <c r="G858" s="123"/>
      <c r="H858" s="123"/>
      <c r="I858" s="123"/>
      <c r="J858" s="174"/>
      <c r="K858" s="182"/>
      <c r="L858" s="182"/>
      <c r="M858" s="182"/>
      <c r="N858" s="182"/>
      <c r="O858" s="182"/>
      <c r="P858" s="182"/>
      <c r="Q858" s="182"/>
      <c r="R858" s="182"/>
      <c r="S858" s="182"/>
      <c r="T858" s="182"/>
      <c r="U858" s="182"/>
      <c r="V858" s="182"/>
      <c r="W858" s="182"/>
      <c r="X858" s="182"/>
      <c r="Y858" s="182"/>
    </row>
    <row r="859" spans="1:25" ht="15.75" hidden="1" customHeight="1" x14ac:dyDescent="0.2">
      <c r="A859" s="182"/>
      <c r="B859" s="175"/>
      <c r="C859" s="176"/>
      <c r="D859" s="176"/>
      <c r="E859" s="176"/>
      <c r="F859" s="123"/>
      <c r="G859" s="123"/>
      <c r="H859" s="123"/>
      <c r="I859" s="123"/>
      <c r="J859" s="174"/>
      <c r="K859" s="182"/>
      <c r="L859" s="182"/>
      <c r="M859" s="182"/>
      <c r="N859" s="182"/>
      <c r="O859" s="182"/>
      <c r="P859" s="182"/>
      <c r="Q859" s="182"/>
      <c r="R859" s="182"/>
      <c r="S859" s="182"/>
      <c r="T859" s="182"/>
      <c r="U859" s="182"/>
      <c r="V859" s="182"/>
      <c r="W859" s="182"/>
      <c r="X859" s="182"/>
      <c r="Y859" s="182"/>
    </row>
    <row r="860" spans="1:25" ht="15.75" hidden="1" customHeight="1" x14ac:dyDescent="0.2">
      <c r="A860" s="182"/>
      <c r="B860" s="175"/>
      <c r="C860" s="176"/>
      <c r="D860" s="176"/>
      <c r="E860" s="176"/>
      <c r="F860" s="123"/>
      <c r="G860" s="123"/>
      <c r="H860" s="123"/>
      <c r="I860" s="123"/>
      <c r="J860" s="174"/>
      <c r="K860" s="182"/>
      <c r="L860" s="182"/>
      <c r="M860" s="182"/>
      <c r="N860" s="182"/>
      <c r="O860" s="182"/>
      <c r="P860" s="182"/>
      <c r="Q860" s="182"/>
      <c r="R860" s="182"/>
      <c r="S860" s="182"/>
      <c r="T860" s="182"/>
      <c r="U860" s="182"/>
      <c r="V860" s="182"/>
      <c r="W860" s="182"/>
      <c r="X860" s="182"/>
      <c r="Y860" s="182"/>
    </row>
    <row r="861" spans="1:25" ht="15.75" hidden="1" customHeight="1" x14ac:dyDescent="0.2">
      <c r="A861" s="182"/>
      <c r="B861" s="175"/>
      <c r="C861" s="176"/>
      <c r="D861" s="176"/>
      <c r="E861" s="176"/>
      <c r="F861" s="123"/>
      <c r="G861" s="123"/>
      <c r="H861" s="123"/>
      <c r="I861" s="123"/>
      <c r="J861" s="174"/>
      <c r="K861" s="182"/>
      <c r="L861" s="182"/>
      <c r="M861" s="182"/>
      <c r="N861" s="182"/>
      <c r="O861" s="182"/>
      <c r="P861" s="182"/>
      <c r="Q861" s="182"/>
      <c r="R861" s="182"/>
      <c r="S861" s="182"/>
      <c r="T861" s="182"/>
      <c r="U861" s="182"/>
      <c r="V861" s="182"/>
      <c r="W861" s="182"/>
      <c r="X861" s="182"/>
      <c r="Y861" s="182"/>
    </row>
    <row r="862" spans="1:25" ht="15.75" hidden="1" customHeight="1" x14ac:dyDescent="0.2">
      <c r="A862" s="182"/>
      <c r="B862" s="175"/>
      <c r="C862" s="176"/>
      <c r="D862" s="176"/>
      <c r="E862" s="176"/>
      <c r="F862" s="123"/>
      <c r="G862" s="123"/>
      <c r="H862" s="123"/>
      <c r="I862" s="123"/>
      <c r="J862" s="174"/>
      <c r="K862" s="182"/>
      <c r="L862" s="182"/>
      <c r="M862" s="182"/>
      <c r="N862" s="182"/>
      <c r="O862" s="182"/>
      <c r="P862" s="182"/>
      <c r="Q862" s="182"/>
      <c r="R862" s="182"/>
      <c r="S862" s="182"/>
      <c r="T862" s="182"/>
      <c r="U862" s="182"/>
      <c r="V862" s="182"/>
      <c r="W862" s="182"/>
      <c r="X862" s="182"/>
      <c r="Y862" s="182"/>
    </row>
    <row r="863" spans="1:25" ht="15.75" hidden="1" customHeight="1" x14ac:dyDescent="0.2">
      <c r="A863" s="182"/>
      <c r="B863" s="175"/>
      <c r="C863" s="176"/>
      <c r="D863" s="176"/>
      <c r="E863" s="176"/>
      <c r="F863" s="123"/>
      <c r="G863" s="123"/>
      <c r="H863" s="123"/>
      <c r="I863" s="123"/>
      <c r="J863" s="174"/>
      <c r="K863" s="182"/>
      <c r="L863" s="182"/>
      <c r="M863" s="182"/>
      <c r="N863" s="182"/>
      <c r="O863" s="182"/>
      <c r="P863" s="182"/>
      <c r="Q863" s="182"/>
      <c r="R863" s="182"/>
      <c r="S863" s="182"/>
      <c r="T863" s="182"/>
      <c r="U863" s="182"/>
      <c r="V863" s="182"/>
      <c r="W863" s="182"/>
      <c r="X863" s="182"/>
      <c r="Y863" s="182"/>
    </row>
    <row r="864" spans="1:25" ht="15.75" hidden="1" customHeight="1" x14ac:dyDescent="0.2">
      <c r="A864" s="182"/>
      <c r="B864" s="175"/>
      <c r="C864" s="176"/>
      <c r="D864" s="176"/>
      <c r="E864" s="176"/>
      <c r="F864" s="123"/>
      <c r="G864" s="123"/>
      <c r="H864" s="123"/>
      <c r="I864" s="123"/>
      <c r="J864" s="174"/>
      <c r="K864" s="182"/>
      <c r="L864" s="182"/>
      <c r="M864" s="182"/>
      <c r="N864" s="182"/>
      <c r="O864" s="182"/>
      <c r="P864" s="182"/>
      <c r="Q864" s="182"/>
      <c r="R864" s="182"/>
      <c r="S864" s="182"/>
      <c r="T864" s="182"/>
      <c r="U864" s="182"/>
      <c r="V864" s="182"/>
      <c r="W864" s="182"/>
      <c r="X864" s="182"/>
      <c r="Y864" s="182"/>
    </row>
    <row r="865" spans="1:25" ht="15.75" hidden="1" customHeight="1" x14ac:dyDescent="0.2">
      <c r="A865" s="182"/>
      <c r="B865" s="175"/>
      <c r="C865" s="176"/>
      <c r="D865" s="176"/>
      <c r="E865" s="176"/>
      <c r="F865" s="123"/>
      <c r="G865" s="123"/>
      <c r="H865" s="123"/>
      <c r="I865" s="123"/>
      <c r="J865" s="174"/>
      <c r="K865" s="182"/>
      <c r="L865" s="182"/>
      <c r="M865" s="182"/>
      <c r="N865" s="182"/>
      <c r="O865" s="182"/>
      <c r="P865" s="182"/>
      <c r="Q865" s="182"/>
      <c r="R865" s="182"/>
      <c r="S865" s="182"/>
      <c r="T865" s="182"/>
      <c r="U865" s="182"/>
      <c r="V865" s="182"/>
      <c r="W865" s="182"/>
      <c r="X865" s="182"/>
      <c r="Y865" s="182"/>
    </row>
    <row r="866" spans="1:25" ht="15.75" hidden="1" customHeight="1" x14ac:dyDescent="0.2">
      <c r="A866" s="182"/>
      <c r="B866" s="175"/>
      <c r="C866" s="176"/>
      <c r="D866" s="176"/>
      <c r="E866" s="176"/>
      <c r="F866" s="123"/>
      <c r="G866" s="123"/>
      <c r="H866" s="123"/>
      <c r="I866" s="123"/>
      <c r="J866" s="174"/>
      <c r="K866" s="182"/>
      <c r="L866" s="182"/>
      <c r="M866" s="182"/>
      <c r="N866" s="182"/>
      <c r="O866" s="182"/>
      <c r="P866" s="182"/>
      <c r="Q866" s="182"/>
      <c r="R866" s="182"/>
      <c r="S866" s="182"/>
      <c r="T866" s="182"/>
      <c r="U866" s="182"/>
      <c r="V866" s="182"/>
      <c r="W866" s="182"/>
      <c r="X866" s="182"/>
      <c r="Y866" s="182"/>
    </row>
    <row r="867" spans="1:25" ht="15.75" hidden="1" customHeight="1" x14ac:dyDescent="0.2">
      <c r="A867" s="182"/>
      <c r="B867" s="175"/>
      <c r="C867" s="176"/>
      <c r="D867" s="176"/>
      <c r="E867" s="176"/>
      <c r="F867" s="123"/>
      <c r="G867" s="123"/>
      <c r="H867" s="123"/>
      <c r="I867" s="123"/>
      <c r="J867" s="174"/>
      <c r="K867" s="182"/>
      <c r="L867" s="182"/>
      <c r="M867" s="182"/>
      <c r="N867" s="182"/>
      <c r="O867" s="182"/>
      <c r="P867" s="182"/>
      <c r="Q867" s="182"/>
      <c r="R867" s="182"/>
      <c r="S867" s="182"/>
      <c r="T867" s="182"/>
      <c r="U867" s="182"/>
      <c r="V867" s="182"/>
      <c r="W867" s="182"/>
      <c r="X867" s="182"/>
      <c r="Y867" s="182"/>
    </row>
    <row r="868" spans="1:25" ht="15.75" hidden="1" customHeight="1" x14ac:dyDescent="0.2">
      <c r="A868" s="182"/>
      <c r="B868" s="175"/>
      <c r="C868" s="176"/>
      <c r="D868" s="176"/>
      <c r="E868" s="176"/>
      <c r="F868" s="123"/>
      <c r="G868" s="123"/>
      <c r="H868" s="123"/>
      <c r="I868" s="123"/>
      <c r="J868" s="174"/>
      <c r="K868" s="182"/>
      <c r="L868" s="182"/>
      <c r="M868" s="182"/>
      <c r="N868" s="182"/>
      <c r="O868" s="182"/>
      <c r="P868" s="182"/>
      <c r="Q868" s="182"/>
      <c r="R868" s="182"/>
      <c r="S868" s="182"/>
      <c r="T868" s="182"/>
      <c r="U868" s="182"/>
      <c r="V868" s="182"/>
      <c r="W868" s="182"/>
      <c r="X868" s="182"/>
      <c r="Y868" s="182"/>
    </row>
    <row r="869" spans="1:25" ht="15.75" hidden="1" customHeight="1" x14ac:dyDescent="0.2">
      <c r="A869" s="182"/>
      <c r="B869" s="175"/>
      <c r="C869" s="176"/>
      <c r="D869" s="176"/>
      <c r="E869" s="176"/>
      <c r="F869" s="123"/>
      <c r="G869" s="123"/>
      <c r="H869" s="123"/>
      <c r="I869" s="123"/>
      <c r="J869" s="174"/>
      <c r="K869" s="182"/>
      <c r="L869" s="182"/>
      <c r="M869" s="182"/>
      <c r="N869" s="182"/>
      <c r="O869" s="182"/>
      <c r="P869" s="182"/>
      <c r="Q869" s="182"/>
      <c r="R869" s="182"/>
      <c r="S869" s="182"/>
      <c r="T869" s="182"/>
      <c r="U869" s="182"/>
      <c r="V869" s="182"/>
      <c r="W869" s="182"/>
      <c r="X869" s="182"/>
      <c r="Y869" s="182"/>
    </row>
    <row r="870" spans="1:25" ht="15.75" hidden="1" customHeight="1" x14ac:dyDescent="0.2">
      <c r="A870" s="182"/>
      <c r="B870" s="175"/>
      <c r="C870" s="176"/>
      <c r="D870" s="176"/>
      <c r="E870" s="176"/>
      <c r="F870" s="123"/>
      <c r="G870" s="123"/>
      <c r="H870" s="123"/>
      <c r="I870" s="123"/>
      <c r="J870" s="174"/>
      <c r="K870" s="182"/>
      <c r="L870" s="182"/>
      <c r="M870" s="182"/>
      <c r="N870" s="182"/>
      <c r="O870" s="182"/>
      <c r="P870" s="182"/>
      <c r="Q870" s="182"/>
      <c r="R870" s="182"/>
      <c r="S870" s="182"/>
      <c r="T870" s="182"/>
      <c r="U870" s="182"/>
      <c r="V870" s="182"/>
      <c r="W870" s="182"/>
      <c r="X870" s="182"/>
      <c r="Y870" s="182"/>
    </row>
    <row r="871" spans="1:25" ht="15.75" hidden="1" customHeight="1" x14ac:dyDescent="0.2">
      <c r="A871" s="182"/>
      <c r="B871" s="175"/>
      <c r="C871" s="176"/>
      <c r="D871" s="176"/>
      <c r="E871" s="176"/>
      <c r="F871" s="123"/>
      <c r="G871" s="123"/>
      <c r="H871" s="123"/>
      <c r="I871" s="123"/>
      <c r="J871" s="174"/>
      <c r="K871" s="182"/>
      <c r="L871" s="182"/>
      <c r="M871" s="182"/>
      <c r="N871" s="182"/>
      <c r="O871" s="182"/>
      <c r="P871" s="182"/>
      <c r="Q871" s="182"/>
      <c r="R871" s="182"/>
      <c r="S871" s="182"/>
      <c r="T871" s="182"/>
      <c r="U871" s="182"/>
      <c r="V871" s="182"/>
      <c r="W871" s="182"/>
      <c r="X871" s="182"/>
      <c r="Y871" s="182"/>
    </row>
    <row r="872" spans="1:25" ht="15.75" hidden="1" customHeight="1" x14ac:dyDescent="0.2">
      <c r="A872" s="182"/>
      <c r="B872" s="175"/>
      <c r="C872" s="176"/>
      <c r="D872" s="176"/>
      <c r="E872" s="176"/>
      <c r="F872" s="123"/>
      <c r="G872" s="123"/>
      <c r="H872" s="123"/>
      <c r="I872" s="123"/>
      <c r="J872" s="174"/>
      <c r="K872" s="182"/>
      <c r="L872" s="182"/>
      <c r="M872" s="182"/>
      <c r="N872" s="182"/>
      <c r="O872" s="182"/>
      <c r="P872" s="182"/>
      <c r="Q872" s="182"/>
      <c r="R872" s="182"/>
      <c r="S872" s="182"/>
      <c r="T872" s="182"/>
      <c r="U872" s="182"/>
      <c r="V872" s="182"/>
      <c r="W872" s="182"/>
      <c r="X872" s="182"/>
      <c r="Y872" s="182"/>
    </row>
    <row r="873" spans="1:25" ht="15.75" hidden="1" customHeight="1" x14ac:dyDescent="0.2">
      <c r="A873" s="182"/>
      <c r="B873" s="175"/>
      <c r="C873" s="176"/>
      <c r="D873" s="176"/>
      <c r="E873" s="176"/>
      <c r="F873" s="123"/>
      <c r="G873" s="123"/>
      <c r="H873" s="123"/>
      <c r="I873" s="123"/>
      <c r="J873" s="174"/>
      <c r="K873" s="182"/>
      <c r="L873" s="182"/>
      <c r="M873" s="182"/>
      <c r="N873" s="182"/>
      <c r="O873" s="182"/>
      <c r="P873" s="182"/>
      <c r="Q873" s="182"/>
      <c r="R873" s="182"/>
      <c r="S873" s="182"/>
      <c r="T873" s="182"/>
      <c r="U873" s="182"/>
      <c r="V873" s="182"/>
      <c r="W873" s="182"/>
      <c r="X873" s="182"/>
      <c r="Y873" s="182"/>
    </row>
    <row r="874" spans="1:25" ht="15.75" hidden="1" customHeight="1" x14ac:dyDescent="0.2">
      <c r="A874" s="182"/>
      <c r="B874" s="175"/>
      <c r="C874" s="176"/>
      <c r="D874" s="176"/>
      <c r="E874" s="176"/>
      <c r="F874" s="123"/>
      <c r="G874" s="123"/>
      <c r="H874" s="123"/>
      <c r="I874" s="123"/>
      <c r="J874" s="174"/>
      <c r="K874" s="182"/>
      <c r="L874" s="182"/>
      <c r="M874" s="182"/>
      <c r="N874" s="182"/>
      <c r="O874" s="182"/>
      <c r="P874" s="182"/>
      <c r="Q874" s="182"/>
      <c r="R874" s="182"/>
      <c r="S874" s="182"/>
      <c r="T874" s="182"/>
      <c r="U874" s="182"/>
      <c r="V874" s="182"/>
      <c r="W874" s="182"/>
      <c r="X874" s="182"/>
      <c r="Y874" s="182"/>
    </row>
    <row r="875" spans="1:25" ht="15.75" hidden="1" customHeight="1" x14ac:dyDescent="0.2">
      <c r="A875" s="182"/>
      <c r="B875" s="175"/>
      <c r="C875" s="176"/>
      <c r="D875" s="176"/>
      <c r="E875" s="176"/>
      <c r="F875" s="123"/>
      <c r="G875" s="123"/>
      <c r="H875" s="123"/>
      <c r="I875" s="123"/>
      <c r="J875" s="174"/>
      <c r="K875" s="182"/>
      <c r="L875" s="182"/>
      <c r="M875" s="182"/>
      <c r="N875" s="182"/>
      <c r="O875" s="182"/>
      <c r="P875" s="182"/>
      <c r="Q875" s="182"/>
      <c r="R875" s="182"/>
      <c r="S875" s="182"/>
      <c r="T875" s="182"/>
      <c r="U875" s="182"/>
      <c r="V875" s="182"/>
      <c r="W875" s="182"/>
      <c r="X875" s="182"/>
      <c r="Y875" s="182"/>
    </row>
    <row r="876" spans="1:25" ht="15.75" hidden="1" customHeight="1" x14ac:dyDescent="0.2">
      <c r="A876" s="182"/>
      <c r="B876" s="175"/>
      <c r="C876" s="176"/>
      <c r="D876" s="176"/>
      <c r="E876" s="176"/>
      <c r="F876" s="123"/>
      <c r="G876" s="123"/>
      <c r="H876" s="123"/>
      <c r="I876" s="123"/>
      <c r="J876" s="174"/>
      <c r="K876" s="182"/>
      <c r="L876" s="182"/>
      <c r="M876" s="182"/>
      <c r="N876" s="182"/>
      <c r="O876" s="182"/>
      <c r="P876" s="182"/>
      <c r="Q876" s="182"/>
      <c r="R876" s="182"/>
      <c r="S876" s="182"/>
      <c r="T876" s="182"/>
      <c r="U876" s="182"/>
      <c r="V876" s="182"/>
      <c r="W876" s="182"/>
      <c r="X876" s="182"/>
      <c r="Y876" s="182"/>
    </row>
    <row r="877" spans="1:25" ht="15.75" hidden="1" customHeight="1" x14ac:dyDescent="0.2">
      <c r="A877" s="182"/>
      <c r="B877" s="175"/>
      <c r="C877" s="176"/>
      <c r="D877" s="176"/>
      <c r="E877" s="176"/>
      <c r="F877" s="123"/>
      <c r="G877" s="123"/>
      <c r="H877" s="123"/>
      <c r="I877" s="123"/>
      <c r="J877" s="174"/>
      <c r="K877" s="182"/>
      <c r="L877" s="182"/>
      <c r="M877" s="182"/>
      <c r="N877" s="182"/>
      <c r="O877" s="182"/>
      <c r="P877" s="182"/>
      <c r="Q877" s="182"/>
      <c r="R877" s="182"/>
      <c r="S877" s="182"/>
      <c r="T877" s="182"/>
      <c r="U877" s="182"/>
      <c r="V877" s="182"/>
      <c r="W877" s="182"/>
      <c r="X877" s="182"/>
      <c r="Y877" s="182"/>
    </row>
    <row r="878" spans="1:25" ht="15.75" hidden="1" customHeight="1" x14ac:dyDescent="0.2">
      <c r="A878" s="182"/>
      <c r="B878" s="175"/>
      <c r="C878" s="176"/>
      <c r="D878" s="176"/>
      <c r="E878" s="176"/>
      <c r="F878" s="123"/>
      <c r="G878" s="123"/>
      <c r="H878" s="123"/>
      <c r="I878" s="123"/>
      <c r="J878" s="174"/>
      <c r="K878" s="182"/>
      <c r="L878" s="182"/>
      <c r="M878" s="182"/>
      <c r="N878" s="182"/>
      <c r="O878" s="182"/>
      <c r="P878" s="182"/>
      <c r="Q878" s="182"/>
      <c r="R878" s="182"/>
      <c r="S878" s="182"/>
      <c r="T878" s="182"/>
      <c r="U878" s="182"/>
      <c r="V878" s="182"/>
      <c r="W878" s="182"/>
      <c r="X878" s="182"/>
      <c r="Y878" s="182"/>
    </row>
    <row r="879" spans="1:25" ht="15.75" hidden="1" customHeight="1" x14ac:dyDescent="0.2">
      <c r="A879" s="182"/>
      <c r="B879" s="175"/>
      <c r="C879" s="176"/>
      <c r="D879" s="176"/>
      <c r="E879" s="176"/>
      <c r="F879" s="123"/>
      <c r="G879" s="123"/>
      <c r="H879" s="123"/>
      <c r="I879" s="123"/>
      <c r="J879" s="174"/>
      <c r="K879" s="182"/>
      <c r="L879" s="182"/>
      <c r="M879" s="182"/>
      <c r="N879" s="182"/>
      <c r="O879" s="182"/>
      <c r="P879" s="182"/>
      <c r="Q879" s="182"/>
      <c r="R879" s="182"/>
      <c r="S879" s="182"/>
      <c r="T879" s="182"/>
      <c r="U879" s="182"/>
      <c r="V879" s="182"/>
      <c r="W879" s="182"/>
      <c r="X879" s="182"/>
      <c r="Y879" s="182"/>
    </row>
    <row r="880" spans="1:25" ht="15.75" hidden="1" customHeight="1" x14ac:dyDescent="0.2">
      <c r="A880" s="182"/>
      <c r="B880" s="175"/>
      <c r="C880" s="176"/>
      <c r="D880" s="176"/>
      <c r="E880" s="176"/>
      <c r="F880" s="123"/>
      <c r="G880" s="123"/>
      <c r="H880" s="123"/>
      <c r="I880" s="123"/>
      <c r="J880" s="174"/>
      <c r="K880" s="182"/>
      <c r="L880" s="182"/>
      <c r="M880" s="182"/>
      <c r="N880" s="182"/>
      <c r="O880" s="182"/>
      <c r="P880" s="182"/>
      <c r="Q880" s="182"/>
      <c r="R880" s="182"/>
      <c r="S880" s="182"/>
      <c r="T880" s="182"/>
      <c r="U880" s="182"/>
      <c r="V880" s="182"/>
      <c r="W880" s="182"/>
      <c r="X880" s="182"/>
      <c r="Y880" s="182"/>
    </row>
    <row r="881" spans="1:25" ht="15.75" hidden="1" customHeight="1" x14ac:dyDescent="0.2">
      <c r="A881" s="182"/>
      <c r="B881" s="175"/>
      <c r="C881" s="176"/>
      <c r="D881" s="176"/>
      <c r="E881" s="176"/>
      <c r="F881" s="123"/>
      <c r="G881" s="123"/>
      <c r="H881" s="123"/>
      <c r="I881" s="123"/>
      <c r="J881" s="174"/>
      <c r="K881" s="182"/>
      <c r="L881" s="182"/>
      <c r="M881" s="182"/>
      <c r="N881" s="182"/>
      <c r="O881" s="182"/>
      <c r="P881" s="182"/>
      <c r="Q881" s="182"/>
      <c r="R881" s="182"/>
      <c r="S881" s="182"/>
      <c r="T881" s="182"/>
      <c r="U881" s="182"/>
      <c r="V881" s="182"/>
      <c r="W881" s="182"/>
      <c r="X881" s="182"/>
      <c r="Y881" s="182"/>
    </row>
    <row r="882" spans="1:25" ht="15.75" hidden="1" customHeight="1" x14ac:dyDescent="0.2">
      <c r="A882" s="182"/>
      <c r="B882" s="175"/>
      <c r="C882" s="176"/>
      <c r="D882" s="176"/>
      <c r="E882" s="176"/>
      <c r="F882" s="123"/>
      <c r="G882" s="123"/>
      <c r="H882" s="123"/>
      <c r="I882" s="123"/>
      <c r="J882" s="174"/>
      <c r="K882" s="182"/>
      <c r="L882" s="182"/>
      <c r="M882" s="182"/>
      <c r="N882" s="182"/>
      <c r="O882" s="182"/>
      <c r="P882" s="182"/>
      <c r="Q882" s="182"/>
      <c r="R882" s="182"/>
      <c r="S882" s="182"/>
      <c r="T882" s="182"/>
      <c r="U882" s="182"/>
      <c r="V882" s="182"/>
      <c r="W882" s="182"/>
      <c r="X882" s="182"/>
      <c r="Y882" s="182"/>
    </row>
    <row r="883" spans="1:25" ht="15.75" hidden="1" customHeight="1" x14ac:dyDescent="0.2">
      <c r="A883" s="182"/>
      <c r="B883" s="175"/>
      <c r="C883" s="176"/>
      <c r="D883" s="176"/>
      <c r="E883" s="176"/>
      <c r="F883" s="123"/>
      <c r="G883" s="123"/>
      <c r="H883" s="123"/>
      <c r="I883" s="123"/>
      <c r="J883" s="174"/>
      <c r="K883" s="182"/>
      <c r="L883" s="182"/>
      <c r="M883" s="182"/>
      <c r="N883" s="182"/>
      <c r="O883" s="182"/>
      <c r="P883" s="182"/>
      <c r="Q883" s="182"/>
      <c r="R883" s="182"/>
      <c r="S883" s="182"/>
      <c r="T883" s="182"/>
      <c r="U883" s="182"/>
      <c r="V883" s="182"/>
      <c r="W883" s="182"/>
      <c r="X883" s="182"/>
      <c r="Y883" s="182"/>
    </row>
    <row r="884" spans="1:25" ht="15.75" hidden="1" customHeight="1" x14ac:dyDescent="0.2">
      <c r="A884" s="182"/>
      <c r="B884" s="175"/>
      <c r="C884" s="176"/>
      <c r="D884" s="176"/>
      <c r="E884" s="176"/>
      <c r="F884" s="123"/>
      <c r="G884" s="123"/>
      <c r="H884" s="123"/>
      <c r="I884" s="123"/>
      <c r="J884" s="174"/>
      <c r="K884" s="182"/>
      <c r="L884" s="182"/>
      <c r="M884" s="182"/>
      <c r="N884" s="182"/>
      <c r="O884" s="182"/>
      <c r="P884" s="182"/>
      <c r="Q884" s="182"/>
      <c r="R884" s="182"/>
      <c r="S884" s="182"/>
      <c r="T884" s="182"/>
      <c r="U884" s="182"/>
      <c r="V884" s="182"/>
      <c r="W884" s="182"/>
      <c r="X884" s="182"/>
      <c r="Y884" s="182"/>
    </row>
    <row r="885" spans="1:25" ht="15.75" hidden="1" customHeight="1" x14ac:dyDescent="0.2">
      <c r="A885" s="182"/>
      <c r="B885" s="175"/>
      <c r="C885" s="176"/>
      <c r="D885" s="176"/>
      <c r="E885" s="176"/>
      <c r="F885" s="123"/>
      <c r="G885" s="123"/>
      <c r="H885" s="123"/>
      <c r="I885" s="123"/>
      <c r="J885" s="174"/>
      <c r="K885" s="182"/>
      <c r="L885" s="182"/>
      <c r="M885" s="182"/>
      <c r="N885" s="182"/>
      <c r="O885" s="182"/>
      <c r="P885" s="182"/>
      <c r="Q885" s="182"/>
      <c r="R885" s="182"/>
      <c r="S885" s="182"/>
      <c r="T885" s="182"/>
      <c r="U885" s="182"/>
      <c r="V885" s="182"/>
      <c r="W885" s="182"/>
      <c r="X885" s="182"/>
      <c r="Y885" s="182"/>
    </row>
    <row r="886" spans="1:25" ht="15.75" hidden="1" customHeight="1" x14ac:dyDescent="0.2">
      <c r="A886" s="182"/>
      <c r="B886" s="175"/>
      <c r="C886" s="176"/>
      <c r="D886" s="176"/>
      <c r="E886" s="176"/>
      <c r="F886" s="123"/>
      <c r="G886" s="123"/>
      <c r="H886" s="123"/>
      <c r="I886" s="123"/>
      <c r="J886" s="174"/>
      <c r="K886" s="182"/>
      <c r="L886" s="182"/>
      <c r="M886" s="182"/>
      <c r="N886" s="182"/>
      <c r="O886" s="182"/>
      <c r="P886" s="182"/>
      <c r="Q886" s="182"/>
      <c r="R886" s="182"/>
      <c r="S886" s="182"/>
      <c r="T886" s="182"/>
      <c r="U886" s="182"/>
      <c r="V886" s="182"/>
      <c r="W886" s="182"/>
      <c r="X886" s="182"/>
      <c r="Y886" s="182"/>
    </row>
    <row r="887" spans="1:25" ht="15.75" hidden="1" customHeight="1" x14ac:dyDescent="0.2">
      <c r="A887" s="182"/>
      <c r="B887" s="175"/>
      <c r="C887" s="176"/>
      <c r="D887" s="176"/>
      <c r="E887" s="176"/>
      <c r="F887" s="123"/>
      <c r="G887" s="123"/>
      <c r="H887" s="123"/>
      <c r="I887" s="123"/>
      <c r="J887" s="174"/>
      <c r="K887" s="182"/>
      <c r="L887" s="182"/>
      <c r="M887" s="182"/>
      <c r="N887" s="182"/>
      <c r="O887" s="182"/>
      <c r="P887" s="182"/>
      <c r="Q887" s="182"/>
      <c r="R887" s="182"/>
      <c r="S887" s="182"/>
      <c r="T887" s="182"/>
      <c r="U887" s="182"/>
      <c r="V887" s="182"/>
      <c r="W887" s="182"/>
      <c r="X887" s="182"/>
      <c r="Y887" s="182"/>
    </row>
    <row r="888" spans="1:25" ht="15.75" hidden="1" customHeight="1" x14ac:dyDescent="0.2">
      <c r="A888" s="182"/>
      <c r="B888" s="175"/>
      <c r="C888" s="176"/>
      <c r="D888" s="176"/>
      <c r="E888" s="176"/>
      <c r="F888" s="123"/>
      <c r="G888" s="123"/>
      <c r="H888" s="123"/>
      <c r="I888" s="123"/>
      <c r="J888" s="174"/>
      <c r="K888" s="182"/>
      <c r="L888" s="182"/>
      <c r="M888" s="182"/>
      <c r="N888" s="182"/>
      <c r="O888" s="182"/>
      <c r="P888" s="182"/>
      <c r="Q888" s="182"/>
      <c r="R888" s="182"/>
      <c r="S888" s="182"/>
      <c r="T888" s="182"/>
      <c r="U888" s="182"/>
      <c r="V888" s="182"/>
      <c r="W888" s="182"/>
      <c r="X888" s="182"/>
      <c r="Y888" s="182"/>
    </row>
    <row r="889" spans="1:25" ht="15.75" hidden="1" customHeight="1" x14ac:dyDescent="0.2">
      <c r="A889" s="182"/>
      <c r="B889" s="175"/>
      <c r="C889" s="176"/>
      <c r="D889" s="176"/>
      <c r="E889" s="176"/>
      <c r="F889" s="123"/>
      <c r="G889" s="123"/>
      <c r="H889" s="123"/>
      <c r="I889" s="123"/>
      <c r="J889" s="174"/>
      <c r="K889" s="182"/>
      <c r="L889" s="182"/>
      <c r="M889" s="182"/>
      <c r="N889" s="182"/>
      <c r="O889" s="182"/>
      <c r="P889" s="182"/>
      <c r="Q889" s="182"/>
      <c r="R889" s="182"/>
      <c r="S889" s="182"/>
      <c r="T889" s="182"/>
      <c r="U889" s="182"/>
      <c r="V889" s="182"/>
      <c r="W889" s="182"/>
      <c r="X889" s="182"/>
      <c r="Y889" s="182"/>
    </row>
    <row r="890" spans="1:25" ht="15.75" hidden="1" customHeight="1" x14ac:dyDescent="0.2">
      <c r="A890" s="182"/>
      <c r="B890" s="175"/>
      <c r="C890" s="176"/>
      <c r="D890" s="176"/>
      <c r="E890" s="176"/>
      <c r="F890" s="123"/>
      <c r="G890" s="123"/>
      <c r="H890" s="123"/>
      <c r="I890" s="123"/>
      <c r="J890" s="174"/>
      <c r="K890" s="182"/>
      <c r="L890" s="182"/>
      <c r="M890" s="182"/>
      <c r="N890" s="182"/>
      <c r="O890" s="182"/>
      <c r="P890" s="182"/>
      <c r="Q890" s="182"/>
      <c r="R890" s="182"/>
      <c r="S890" s="182"/>
      <c r="T890" s="182"/>
      <c r="U890" s="182"/>
      <c r="V890" s="182"/>
      <c r="W890" s="182"/>
      <c r="X890" s="182"/>
      <c r="Y890" s="182"/>
    </row>
    <row r="891" spans="1:25" ht="15.75" hidden="1" customHeight="1" x14ac:dyDescent="0.2">
      <c r="A891" s="182"/>
      <c r="B891" s="175"/>
      <c r="C891" s="176"/>
      <c r="D891" s="176"/>
      <c r="E891" s="176"/>
      <c r="F891" s="123"/>
      <c r="G891" s="123"/>
      <c r="H891" s="123"/>
      <c r="I891" s="123"/>
      <c r="J891" s="174"/>
      <c r="K891" s="182"/>
      <c r="L891" s="182"/>
      <c r="M891" s="182"/>
      <c r="N891" s="182"/>
      <c r="O891" s="182"/>
      <c r="P891" s="182"/>
      <c r="Q891" s="182"/>
      <c r="R891" s="182"/>
      <c r="S891" s="182"/>
      <c r="T891" s="182"/>
      <c r="U891" s="182"/>
      <c r="V891" s="182"/>
      <c r="W891" s="182"/>
      <c r="X891" s="182"/>
      <c r="Y891" s="182"/>
    </row>
    <row r="892" spans="1:25" ht="15.75" hidden="1" customHeight="1" x14ac:dyDescent="0.2">
      <c r="A892" s="182"/>
      <c r="B892" s="175"/>
      <c r="C892" s="176"/>
      <c r="D892" s="176"/>
      <c r="E892" s="176"/>
      <c r="F892" s="123"/>
      <c r="G892" s="123"/>
      <c r="H892" s="123"/>
      <c r="I892" s="123"/>
      <c r="J892" s="174"/>
      <c r="K892" s="182"/>
      <c r="L892" s="182"/>
      <c r="M892" s="182"/>
      <c r="N892" s="182"/>
      <c r="O892" s="182"/>
      <c r="P892" s="182"/>
      <c r="Q892" s="182"/>
      <c r="R892" s="182"/>
      <c r="S892" s="182"/>
      <c r="T892" s="182"/>
      <c r="U892" s="182"/>
      <c r="V892" s="182"/>
      <c r="W892" s="182"/>
      <c r="X892" s="182"/>
      <c r="Y892" s="182"/>
    </row>
    <row r="893" spans="1:25" ht="15.75" hidden="1" customHeight="1" x14ac:dyDescent="0.2">
      <c r="A893" s="182"/>
      <c r="B893" s="175"/>
      <c r="C893" s="176"/>
      <c r="D893" s="176"/>
      <c r="E893" s="176"/>
      <c r="F893" s="123"/>
      <c r="G893" s="123"/>
      <c r="H893" s="123"/>
      <c r="I893" s="123"/>
      <c r="J893" s="174"/>
      <c r="K893" s="182"/>
      <c r="L893" s="182"/>
      <c r="M893" s="182"/>
      <c r="N893" s="182"/>
      <c r="O893" s="182"/>
      <c r="P893" s="182"/>
      <c r="Q893" s="182"/>
      <c r="R893" s="182"/>
      <c r="S893" s="182"/>
      <c r="T893" s="182"/>
      <c r="U893" s="182"/>
      <c r="V893" s="182"/>
      <c r="W893" s="182"/>
      <c r="X893" s="182"/>
      <c r="Y893" s="182"/>
    </row>
    <row r="894" spans="1:25" ht="15.75" hidden="1" customHeight="1" x14ac:dyDescent="0.2">
      <c r="A894" s="182"/>
      <c r="B894" s="175"/>
      <c r="C894" s="176"/>
      <c r="D894" s="176"/>
      <c r="E894" s="176"/>
      <c r="F894" s="123"/>
      <c r="G894" s="123"/>
      <c r="H894" s="123"/>
      <c r="I894" s="123"/>
      <c r="J894" s="174"/>
      <c r="K894" s="182"/>
      <c r="L894" s="182"/>
      <c r="M894" s="182"/>
      <c r="N894" s="182"/>
      <c r="O894" s="182"/>
      <c r="P894" s="182"/>
      <c r="Q894" s="182"/>
      <c r="R894" s="182"/>
      <c r="S894" s="182"/>
      <c r="T894" s="182"/>
      <c r="U894" s="182"/>
      <c r="V894" s="182"/>
      <c r="W894" s="182"/>
      <c r="X894" s="182"/>
      <c r="Y894" s="182"/>
    </row>
    <row r="895" spans="1:25" ht="15.75" hidden="1" customHeight="1" x14ac:dyDescent="0.2">
      <c r="A895" s="182"/>
      <c r="B895" s="175"/>
      <c r="C895" s="176"/>
      <c r="D895" s="176"/>
      <c r="E895" s="176"/>
      <c r="F895" s="123"/>
      <c r="G895" s="123"/>
      <c r="H895" s="123"/>
      <c r="I895" s="123"/>
      <c r="J895" s="174"/>
      <c r="K895" s="182"/>
      <c r="L895" s="182"/>
      <c r="M895" s="182"/>
      <c r="N895" s="182"/>
      <c r="O895" s="182"/>
      <c r="P895" s="182"/>
      <c r="Q895" s="182"/>
      <c r="R895" s="182"/>
      <c r="S895" s="182"/>
      <c r="T895" s="182"/>
      <c r="U895" s="182"/>
      <c r="V895" s="182"/>
      <c r="W895" s="182"/>
      <c r="X895" s="182"/>
      <c r="Y895" s="182"/>
    </row>
    <row r="896" spans="1:25" ht="15.75" hidden="1" customHeight="1" x14ac:dyDescent="0.2">
      <c r="A896" s="182"/>
      <c r="B896" s="175"/>
      <c r="C896" s="176"/>
      <c r="D896" s="176"/>
      <c r="E896" s="176"/>
      <c r="F896" s="123"/>
      <c r="G896" s="123"/>
      <c r="H896" s="123"/>
      <c r="I896" s="123"/>
      <c r="J896" s="174"/>
      <c r="K896" s="182"/>
      <c r="L896" s="182"/>
      <c r="M896" s="182"/>
      <c r="N896" s="182"/>
      <c r="O896" s="182"/>
      <c r="P896" s="182"/>
      <c r="Q896" s="182"/>
      <c r="R896" s="182"/>
      <c r="S896" s="182"/>
      <c r="T896" s="182"/>
      <c r="U896" s="182"/>
      <c r="V896" s="182"/>
      <c r="W896" s="182"/>
      <c r="X896" s="182"/>
      <c r="Y896" s="182"/>
    </row>
    <row r="897" spans="1:25" ht="15.75" hidden="1" customHeight="1" x14ac:dyDescent="0.2">
      <c r="A897" s="182"/>
      <c r="B897" s="175"/>
      <c r="C897" s="176"/>
      <c r="D897" s="176"/>
      <c r="E897" s="176"/>
      <c r="F897" s="123"/>
      <c r="G897" s="123"/>
      <c r="H897" s="123"/>
      <c r="I897" s="123"/>
      <c r="J897" s="174"/>
      <c r="K897" s="182"/>
      <c r="L897" s="182"/>
      <c r="M897" s="182"/>
      <c r="N897" s="182"/>
      <c r="O897" s="182"/>
      <c r="P897" s="182"/>
      <c r="Q897" s="182"/>
      <c r="R897" s="182"/>
      <c r="S897" s="182"/>
      <c r="T897" s="182"/>
      <c r="U897" s="182"/>
      <c r="V897" s="182"/>
      <c r="W897" s="182"/>
      <c r="X897" s="182"/>
      <c r="Y897" s="182"/>
    </row>
    <row r="898" spans="1:25" ht="15.75" hidden="1" customHeight="1" x14ac:dyDescent="0.2">
      <c r="A898" s="182"/>
      <c r="B898" s="175"/>
      <c r="C898" s="176"/>
      <c r="D898" s="176"/>
      <c r="E898" s="176"/>
      <c r="F898" s="123"/>
      <c r="G898" s="123"/>
      <c r="H898" s="123"/>
      <c r="I898" s="123"/>
      <c r="J898" s="174"/>
      <c r="K898" s="182"/>
      <c r="L898" s="182"/>
      <c r="M898" s="182"/>
      <c r="N898" s="182"/>
      <c r="O898" s="182"/>
      <c r="P898" s="182"/>
      <c r="Q898" s="182"/>
      <c r="R898" s="182"/>
      <c r="S898" s="182"/>
      <c r="T898" s="182"/>
      <c r="U898" s="182"/>
      <c r="V898" s="182"/>
      <c r="W898" s="182"/>
      <c r="X898" s="182"/>
      <c r="Y898" s="182"/>
    </row>
    <row r="899" spans="1:25" ht="15.75" hidden="1" customHeight="1" x14ac:dyDescent="0.2">
      <c r="A899" s="182"/>
      <c r="B899" s="175"/>
      <c r="C899" s="176"/>
      <c r="D899" s="176"/>
      <c r="E899" s="176"/>
      <c r="F899" s="123"/>
      <c r="G899" s="123"/>
      <c r="H899" s="123"/>
      <c r="I899" s="123"/>
      <c r="J899" s="174"/>
      <c r="K899" s="182"/>
      <c r="L899" s="182"/>
      <c r="M899" s="182"/>
      <c r="N899" s="182"/>
      <c r="O899" s="182"/>
      <c r="P899" s="182"/>
      <c r="Q899" s="182"/>
      <c r="R899" s="182"/>
      <c r="S899" s="182"/>
      <c r="T899" s="182"/>
      <c r="U899" s="182"/>
      <c r="V899" s="182"/>
      <c r="W899" s="182"/>
      <c r="X899" s="182"/>
      <c r="Y899" s="182"/>
    </row>
    <row r="900" spans="1:25" ht="15.75" hidden="1" customHeight="1" x14ac:dyDescent="0.2">
      <c r="A900" s="182"/>
      <c r="B900" s="175"/>
      <c r="C900" s="176"/>
      <c r="D900" s="176"/>
      <c r="E900" s="176"/>
      <c r="F900" s="123"/>
      <c r="G900" s="123"/>
      <c r="H900" s="123"/>
      <c r="I900" s="123"/>
      <c r="J900" s="174"/>
      <c r="K900" s="182"/>
      <c r="L900" s="182"/>
      <c r="M900" s="182"/>
      <c r="N900" s="182"/>
      <c r="O900" s="182"/>
      <c r="P900" s="182"/>
      <c r="Q900" s="182"/>
      <c r="R900" s="182"/>
      <c r="S900" s="182"/>
      <c r="T900" s="182"/>
      <c r="U900" s="182"/>
      <c r="V900" s="182"/>
      <c r="W900" s="182"/>
      <c r="X900" s="182"/>
      <c r="Y900" s="182"/>
    </row>
    <row r="901" spans="1:25" ht="15.75" hidden="1" customHeight="1" x14ac:dyDescent="0.2">
      <c r="A901" s="182"/>
      <c r="B901" s="175"/>
      <c r="C901" s="176"/>
      <c r="D901" s="176"/>
      <c r="E901" s="176"/>
      <c r="F901" s="123"/>
      <c r="G901" s="123"/>
      <c r="H901" s="123"/>
      <c r="I901" s="123"/>
      <c r="J901" s="174"/>
      <c r="K901" s="182"/>
      <c r="L901" s="182"/>
      <c r="M901" s="182"/>
      <c r="N901" s="182"/>
      <c r="O901" s="182"/>
      <c r="P901" s="182"/>
      <c r="Q901" s="182"/>
      <c r="R901" s="182"/>
      <c r="S901" s="182"/>
      <c r="T901" s="182"/>
      <c r="U901" s="182"/>
      <c r="V901" s="182"/>
      <c r="W901" s="182"/>
      <c r="X901" s="182"/>
      <c r="Y901" s="182"/>
    </row>
    <row r="902" spans="1:25" ht="15.75" hidden="1" customHeight="1" x14ac:dyDescent="0.2">
      <c r="A902" s="182"/>
      <c r="B902" s="175"/>
      <c r="C902" s="176"/>
      <c r="D902" s="176"/>
      <c r="E902" s="176"/>
      <c r="F902" s="123"/>
      <c r="G902" s="123"/>
      <c r="H902" s="123"/>
      <c r="I902" s="123"/>
      <c r="J902" s="174"/>
      <c r="K902" s="182"/>
      <c r="L902" s="182"/>
      <c r="M902" s="182"/>
      <c r="N902" s="182"/>
      <c r="O902" s="182"/>
      <c r="P902" s="182"/>
      <c r="Q902" s="182"/>
      <c r="R902" s="182"/>
      <c r="S902" s="182"/>
      <c r="T902" s="182"/>
      <c r="U902" s="182"/>
      <c r="V902" s="182"/>
      <c r="W902" s="182"/>
      <c r="X902" s="182"/>
      <c r="Y902" s="182"/>
    </row>
    <row r="903" spans="1:25" ht="15.75" hidden="1" customHeight="1" x14ac:dyDescent="0.2">
      <c r="A903" s="182"/>
      <c r="B903" s="175"/>
      <c r="C903" s="176"/>
      <c r="D903" s="176"/>
      <c r="E903" s="176"/>
      <c r="F903" s="123"/>
      <c r="G903" s="123"/>
      <c r="H903" s="123"/>
      <c r="I903" s="123"/>
      <c r="J903" s="174"/>
      <c r="K903" s="182"/>
      <c r="L903" s="182"/>
      <c r="M903" s="182"/>
      <c r="N903" s="182"/>
      <c r="O903" s="182"/>
      <c r="P903" s="182"/>
      <c r="Q903" s="182"/>
      <c r="R903" s="182"/>
      <c r="S903" s="182"/>
      <c r="T903" s="182"/>
      <c r="U903" s="182"/>
      <c r="V903" s="182"/>
      <c r="W903" s="182"/>
      <c r="X903" s="182"/>
      <c r="Y903" s="182"/>
    </row>
    <row r="904" spans="1:25" ht="15.75" hidden="1" customHeight="1" x14ac:dyDescent="0.2">
      <c r="A904" s="182"/>
      <c r="B904" s="175"/>
      <c r="C904" s="176"/>
      <c r="D904" s="176"/>
      <c r="E904" s="176"/>
      <c r="F904" s="123"/>
      <c r="G904" s="123"/>
      <c r="H904" s="123"/>
      <c r="I904" s="123"/>
      <c r="J904" s="174"/>
      <c r="K904" s="182"/>
      <c r="L904" s="182"/>
      <c r="M904" s="182"/>
      <c r="N904" s="182"/>
      <c r="O904" s="182"/>
      <c r="P904" s="182"/>
      <c r="Q904" s="182"/>
      <c r="R904" s="182"/>
      <c r="S904" s="182"/>
      <c r="T904" s="182"/>
      <c r="U904" s="182"/>
      <c r="V904" s="182"/>
      <c r="W904" s="182"/>
      <c r="X904" s="182"/>
      <c r="Y904" s="182"/>
    </row>
    <row r="905" spans="1:25" ht="15.75" hidden="1" customHeight="1" x14ac:dyDescent="0.2">
      <c r="A905" s="182"/>
      <c r="B905" s="175"/>
      <c r="C905" s="176"/>
      <c r="D905" s="176"/>
      <c r="E905" s="176"/>
      <c r="F905" s="123"/>
      <c r="G905" s="123"/>
      <c r="H905" s="123"/>
      <c r="I905" s="123"/>
      <c r="J905" s="174"/>
      <c r="K905" s="182"/>
      <c r="L905" s="182"/>
      <c r="M905" s="182"/>
      <c r="N905" s="182"/>
      <c r="O905" s="182"/>
      <c r="P905" s="182"/>
      <c r="Q905" s="182"/>
      <c r="R905" s="182"/>
      <c r="S905" s="182"/>
      <c r="T905" s="182"/>
      <c r="U905" s="182"/>
      <c r="V905" s="182"/>
      <c r="W905" s="182"/>
      <c r="X905" s="182"/>
      <c r="Y905" s="182"/>
    </row>
    <row r="906" spans="1:25" ht="15.75" hidden="1" customHeight="1" x14ac:dyDescent="0.2">
      <c r="A906" s="182"/>
      <c r="B906" s="175"/>
      <c r="C906" s="176"/>
      <c r="D906" s="176"/>
      <c r="E906" s="176"/>
      <c r="F906" s="123"/>
      <c r="G906" s="123"/>
      <c r="H906" s="123"/>
      <c r="I906" s="123"/>
      <c r="J906" s="174"/>
      <c r="K906" s="182"/>
      <c r="L906" s="182"/>
      <c r="M906" s="182"/>
      <c r="N906" s="182"/>
      <c r="O906" s="182"/>
      <c r="P906" s="182"/>
      <c r="Q906" s="182"/>
      <c r="R906" s="182"/>
      <c r="S906" s="182"/>
      <c r="T906" s="182"/>
      <c r="U906" s="182"/>
      <c r="V906" s="182"/>
      <c r="W906" s="182"/>
      <c r="X906" s="182"/>
      <c r="Y906" s="182"/>
    </row>
    <row r="907" spans="1:25" ht="15.75" hidden="1" customHeight="1" x14ac:dyDescent="0.2">
      <c r="A907" s="182"/>
      <c r="B907" s="175"/>
      <c r="C907" s="176"/>
      <c r="D907" s="176"/>
      <c r="E907" s="176"/>
      <c r="F907" s="123"/>
      <c r="G907" s="123"/>
      <c r="H907" s="123"/>
      <c r="I907" s="123"/>
      <c r="J907" s="174"/>
      <c r="K907" s="182"/>
      <c r="L907" s="182"/>
      <c r="M907" s="182"/>
      <c r="N907" s="182"/>
      <c r="O907" s="182"/>
      <c r="P907" s="182"/>
      <c r="Q907" s="182"/>
      <c r="R907" s="182"/>
      <c r="S907" s="182"/>
      <c r="T907" s="182"/>
      <c r="U907" s="182"/>
      <c r="V907" s="182"/>
      <c r="W907" s="182"/>
      <c r="X907" s="182"/>
      <c r="Y907" s="182"/>
    </row>
    <row r="908" spans="1:25" ht="15.75" hidden="1" customHeight="1" x14ac:dyDescent="0.2">
      <c r="A908" s="182"/>
      <c r="B908" s="175"/>
      <c r="C908" s="176"/>
      <c r="D908" s="176"/>
      <c r="E908" s="176"/>
      <c r="F908" s="123"/>
      <c r="G908" s="123"/>
      <c r="H908" s="123"/>
      <c r="I908" s="123"/>
      <c r="J908" s="174"/>
      <c r="K908" s="182"/>
      <c r="L908" s="182"/>
      <c r="M908" s="182"/>
      <c r="N908" s="182"/>
      <c r="O908" s="182"/>
      <c r="P908" s="182"/>
      <c r="Q908" s="182"/>
      <c r="R908" s="182"/>
      <c r="S908" s="182"/>
      <c r="T908" s="182"/>
      <c r="U908" s="182"/>
      <c r="V908" s="182"/>
      <c r="W908" s="182"/>
      <c r="X908" s="182"/>
      <c r="Y908" s="182"/>
    </row>
    <row r="909" spans="1:25" ht="15.75" hidden="1" customHeight="1" x14ac:dyDescent="0.2">
      <c r="A909" s="182"/>
      <c r="B909" s="175"/>
      <c r="C909" s="176"/>
      <c r="D909" s="176"/>
      <c r="E909" s="176"/>
      <c r="F909" s="123"/>
      <c r="G909" s="123"/>
      <c r="H909" s="123"/>
      <c r="I909" s="123"/>
      <c r="J909" s="174"/>
      <c r="K909" s="182"/>
      <c r="L909" s="182"/>
      <c r="M909" s="182"/>
      <c r="N909" s="182"/>
      <c r="O909" s="182"/>
      <c r="P909" s="182"/>
      <c r="Q909" s="182"/>
      <c r="R909" s="182"/>
      <c r="S909" s="182"/>
      <c r="T909" s="182"/>
      <c r="U909" s="182"/>
      <c r="V909" s="182"/>
      <c r="W909" s="182"/>
      <c r="X909" s="182"/>
      <c r="Y909" s="182"/>
    </row>
    <row r="910" spans="1:25" ht="15.75" hidden="1" customHeight="1" x14ac:dyDescent="0.2">
      <c r="A910" s="182"/>
      <c r="B910" s="175"/>
      <c r="C910" s="176"/>
      <c r="D910" s="176"/>
      <c r="E910" s="176"/>
      <c r="F910" s="123"/>
      <c r="G910" s="123"/>
      <c r="H910" s="123"/>
      <c r="I910" s="123"/>
      <c r="J910" s="174"/>
      <c r="K910" s="182"/>
      <c r="L910" s="182"/>
      <c r="M910" s="182"/>
      <c r="N910" s="182"/>
      <c r="O910" s="182"/>
      <c r="P910" s="182"/>
      <c r="Q910" s="182"/>
      <c r="R910" s="182"/>
      <c r="S910" s="182"/>
      <c r="T910" s="182"/>
      <c r="U910" s="182"/>
      <c r="V910" s="182"/>
      <c r="W910" s="182"/>
      <c r="X910" s="182"/>
      <c r="Y910" s="182"/>
    </row>
    <row r="911" spans="1:25" ht="15.75" hidden="1" customHeight="1" x14ac:dyDescent="0.2">
      <c r="A911" s="182"/>
      <c r="B911" s="175"/>
      <c r="C911" s="176"/>
      <c r="D911" s="176"/>
      <c r="E911" s="176"/>
      <c r="F911" s="123"/>
      <c r="G911" s="123"/>
      <c r="H911" s="123"/>
      <c r="I911" s="123"/>
      <c r="J911" s="174"/>
      <c r="K911" s="182"/>
      <c r="L911" s="182"/>
      <c r="M911" s="182"/>
      <c r="N911" s="182"/>
      <c r="O911" s="182"/>
      <c r="P911" s="182"/>
      <c r="Q911" s="182"/>
      <c r="R911" s="182"/>
      <c r="S911" s="182"/>
      <c r="T911" s="182"/>
      <c r="U911" s="182"/>
      <c r="V911" s="182"/>
      <c r="W911" s="182"/>
      <c r="X911" s="182"/>
      <c r="Y911" s="182"/>
    </row>
    <row r="912" spans="1:25" ht="15.75" hidden="1" customHeight="1" x14ac:dyDescent="0.2">
      <c r="A912" s="182"/>
      <c r="B912" s="175"/>
      <c r="C912" s="176"/>
      <c r="D912" s="176"/>
      <c r="E912" s="176"/>
      <c r="F912" s="123"/>
      <c r="G912" s="123"/>
      <c r="H912" s="123"/>
      <c r="I912" s="123"/>
      <c r="J912" s="174"/>
      <c r="K912" s="182"/>
      <c r="L912" s="182"/>
      <c r="M912" s="182"/>
      <c r="N912" s="182"/>
      <c r="O912" s="182"/>
      <c r="P912" s="182"/>
      <c r="Q912" s="182"/>
      <c r="R912" s="182"/>
      <c r="S912" s="182"/>
      <c r="T912" s="182"/>
      <c r="U912" s="182"/>
      <c r="V912" s="182"/>
      <c r="W912" s="182"/>
      <c r="X912" s="182"/>
      <c r="Y912" s="182"/>
    </row>
    <row r="913" spans="1:25" ht="15.75" hidden="1" customHeight="1" x14ac:dyDescent="0.2">
      <c r="A913" s="182"/>
      <c r="B913" s="175"/>
      <c r="C913" s="176"/>
      <c r="D913" s="176"/>
      <c r="E913" s="176"/>
      <c r="F913" s="123"/>
      <c r="G913" s="123"/>
      <c r="H913" s="123"/>
      <c r="I913" s="123"/>
      <c r="J913" s="174"/>
      <c r="K913" s="182"/>
      <c r="L913" s="182"/>
      <c r="M913" s="182"/>
      <c r="N913" s="182"/>
      <c r="O913" s="182"/>
      <c r="P913" s="182"/>
      <c r="Q913" s="182"/>
      <c r="R913" s="182"/>
      <c r="S913" s="182"/>
      <c r="T913" s="182"/>
      <c r="U913" s="182"/>
      <c r="V913" s="182"/>
      <c r="W913" s="182"/>
      <c r="X913" s="182"/>
      <c r="Y913" s="182"/>
    </row>
    <row r="914" spans="1:25" ht="15.75" hidden="1" customHeight="1" x14ac:dyDescent="0.2">
      <c r="A914" s="182"/>
      <c r="B914" s="175"/>
      <c r="C914" s="176"/>
      <c r="D914" s="176"/>
      <c r="E914" s="176"/>
      <c r="F914" s="123"/>
      <c r="G914" s="123"/>
      <c r="H914" s="123"/>
      <c r="I914" s="123"/>
      <c r="J914" s="174"/>
      <c r="K914" s="182"/>
      <c r="L914" s="182"/>
      <c r="M914" s="182"/>
      <c r="N914" s="182"/>
      <c r="O914" s="182"/>
      <c r="P914" s="182"/>
      <c r="Q914" s="182"/>
      <c r="R914" s="182"/>
      <c r="S914" s="182"/>
      <c r="T914" s="182"/>
      <c r="U914" s="182"/>
      <c r="V914" s="182"/>
      <c r="W914" s="182"/>
      <c r="X914" s="182"/>
      <c r="Y914" s="182"/>
    </row>
    <row r="915" spans="1:25" ht="15.75" hidden="1" customHeight="1" x14ac:dyDescent="0.2">
      <c r="A915" s="182"/>
      <c r="B915" s="175"/>
      <c r="C915" s="176"/>
      <c r="D915" s="176"/>
      <c r="E915" s="176"/>
      <c r="F915" s="123"/>
      <c r="G915" s="123"/>
      <c r="H915" s="123"/>
      <c r="I915" s="123"/>
      <c r="J915" s="174"/>
      <c r="K915" s="182"/>
      <c r="L915" s="182"/>
      <c r="M915" s="182"/>
      <c r="N915" s="182"/>
      <c r="O915" s="182"/>
      <c r="P915" s="182"/>
      <c r="Q915" s="182"/>
      <c r="R915" s="182"/>
      <c r="S915" s="182"/>
      <c r="T915" s="182"/>
      <c r="U915" s="182"/>
      <c r="V915" s="182"/>
      <c r="W915" s="182"/>
      <c r="X915" s="182"/>
      <c r="Y915" s="182"/>
    </row>
    <row r="916" spans="1:25" ht="15.75" hidden="1" customHeight="1" x14ac:dyDescent="0.2">
      <c r="A916" s="182"/>
      <c r="B916" s="175"/>
      <c r="C916" s="176"/>
      <c r="D916" s="176"/>
      <c r="E916" s="176"/>
      <c r="F916" s="123"/>
      <c r="G916" s="123"/>
      <c r="H916" s="123"/>
      <c r="I916" s="123"/>
      <c r="J916" s="174"/>
      <c r="K916" s="182"/>
      <c r="L916" s="182"/>
      <c r="M916" s="182"/>
      <c r="N916" s="182"/>
      <c r="O916" s="182"/>
      <c r="P916" s="182"/>
      <c r="Q916" s="182"/>
      <c r="R916" s="182"/>
      <c r="S916" s="182"/>
      <c r="T916" s="182"/>
      <c r="U916" s="182"/>
      <c r="V916" s="182"/>
      <c r="W916" s="182"/>
      <c r="X916" s="182"/>
      <c r="Y916" s="182"/>
    </row>
    <row r="917" spans="1:25" ht="15.75" hidden="1" customHeight="1" x14ac:dyDescent="0.2">
      <c r="A917" s="182"/>
      <c r="B917" s="175"/>
      <c r="C917" s="176"/>
      <c r="D917" s="176"/>
      <c r="E917" s="176"/>
      <c r="F917" s="123"/>
      <c r="G917" s="123"/>
      <c r="H917" s="123"/>
      <c r="I917" s="123"/>
      <c r="J917" s="174"/>
      <c r="K917" s="182"/>
      <c r="L917" s="182"/>
      <c r="M917" s="182"/>
      <c r="N917" s="182"/>
      <c r="O917" s="182"/>
      <c r="P917" s="182"/>
      <c r="Q917" s="182"/>
      <c r="R917" s="182"/>
      <c r="S917" s="182"/>
      <c r="T917" s="182"/>
      <c r="U917" s="182"/>
      <c r="V917" s="182"/>
      <c r="W917" s="182"/>
      <c r="X917" s="182"/>
      <c r="Y917" s="182"/>
    </row>
    <row r="918" spans="1:25" ht="15.75" hidden="1" customHeight="1" x14ac:dyDescent="0.2">
      <c r="A918" s="182"/>
      <c r="B918" s="175"/>
      <c r="C918" s="176"/>
      <c r="D918" s="176"/>
      <c r="E918" s="176"/>
      <c r="F918" s="123"/>
      <c r="G918" s="123"/>
      <c r="H918" s="123"/>
      <c r="I918" s="123"/>
      <c r="J918" s="174"/>
      <c r="K918" s="182"/>
      <c r="L918" s="182"/>
      <c r="M918" s="182"/>
      <c r="N918" s="182"/>
      <c r="O918" s="182"/>
      <c r="P918" s="182"/>
      <c r="Q918" s="182"/>
      <c r="R918" s="182"/>
      <c r="S918" s="182"/>
      <c r="T918" s="182"/>
      <c r="U918" s="182"/>
      <c r="V918" s="182"/>
      <c r="W918" s="182"/>
      <c r="X918" s="182"/>
      <c r="Y918" s="182"/>
    </row>
    <row r="919" spans="1:25" ht="15.75" hidden="1" customHeight="1" x14ac:dyDescent="0.2">
      <c r="A919" s="182"/>
      <c r="B919" s="175"/>
      <c r="C919" s="176"/>
      <c r="D919" s="176"/>
      <c r="E919" s="176"/>
      <c r="F919" s="123"/>
      <c r="G919" s="123"/>
      <c r="H919" s="123"/>
      <c r="I919" s="123"/>
      <c r="J919" s="174"/>
      <c r="K919" s="182"/>
      <c r="L919" s="182"/>
      <c r="M919" s="182"/>
      <c r="N919" s="182"/>
      <c r="O919" s="182"/>
      <c r="P919" s="182"/>
      <c r="Q919" s="182"/>
      <c r="R919" s="182"/>
      <c r="S919" s="182"/>
      <c r="T919" s="182"/>
      <c r="U919" s="182"/>
      <c r="V919" s="182"/>
      <c r="W919" s="182"/>
      <c r="X919" s="182"/>
      <c r="Y919" s="182"/>
    </row>
    <row r="920" spans="1:25" ht="15.75" hidden="1" customHeight="1" x14ac:dyDescent="0.2">
      <c r="A920" s="182"/>
      <c r="B920" s="175"/>
      <c r="C920" s="176"/>
      <c r="D920" s="176"/>
      <c r="E920" s="176"/>
      <c r="F920" s="123"/>
      <c r="G920" s="123"/>
      <c r="H920" s="123"/>
      <c r="I920" s="123"/>
      <c r="J920" s="174"/>
      <c r="K920" s="182"/>
      <c r="L920" s="182"/>
      <c r="M920" s="182"/>
      <c r="N920" s="182"/>
      <c r="O920" s="182"/>
      <c r="P920" s="182"/>
      <c r="Q920" s="182"/>
      <c r="R920" s="182"/>
      <c r="S920" s="182"/>
      <c r="T920" s="182"/>
      <c r="U920" s="182"/>
      <c r="V920" s="182"/>
      <c r="W920" s="182"/>
      <c r="X920" s="182"/>
      <c r="Y920" s="182"/>
    </row>
    <row r="921" spans="1:25" ht="15.75" hidden="1" customHeight="1" x14ac:dyDescent="0.2">
      <c r="A921" s="182"/>
      <c r="B921" s="175"/>
      <c r="C921" s="176"/>
      <c r="D921" s="176"/>
      <c r="E921" s="176"/>
      <c r="F921" s="123"/>
      <c r="G921" s="123"/>
      <c r="H921" s="123"/>
      <c r="I921" s="123"/>
      <c r="J921" s="174"/>
      <c r="K921" s="182"/>
      <c r="L921" s="182"/>
      <c r="M921" s="182"/>
      <c r="N921" s="182"/>
      <c r="O921" s="182"/>
      <c r="P921" s="182"/>
      <c r="Q921" s="182"/>
      <c r="R921" s="182"/>
      <c r="S921" s="182"/>
      <c r="T921" s="182"/>
      <c r="U921" s="182"/>
      <c r="V921" s="182"/>
      <c r="W921" s="182"/>
      <c r="X921" s="182"/>
      <c r="Y921" s="182"/>
    </row>
    <row r="922" spans="1:25" ht="15.75" hidden="1" customHeight="1" x14ac:dyDescent="0.2">
      <c r="A922" s="182"/>
      <c r="B922" s="175"/>
      <c r="C922" s="176"/>
      <c r="D922" s="176"/>
      <c r="E922" s="176"/>
      <c r="F922" s="123"/>
      <c r="G922" s="123"/>
      <c r="H922" s="123"/>
      <c r="I922" s="123"/>
      <c r="J922" s="174"/>
      <c r="K922" s="182"/>
      <c r="L922" s="182"/>
      <c r="M922" s="182"/>
      <c r="N922" s="182"/>
      <c r="O922" s="182"/>
      <c r="P922" s="182"/>
      <c r="Q922" s="182"/>
      <c r="R922" s="182"/>
      <c r="S922" s="182"/>
      <c r="T922" s="182"/>
      <c r="U922" s="182"/>
      <c r="V922" s="182"/>
      <c r="W922" s="182"/>
      <c r="X922" s="182"/>
      <c r="Y922" s="182"/>
    </row>
    <row r="923" spans="1:25" ht="15.75" hidden="1" customHeight="1" x14ac:dyDescent="0.2">
      <c r="A923" s="182"/>
      <c r="B923" s="175"/>
      <c r="C923" s="176"/>
      <c r="D923" s="176"/>
      <c r="E923" s="176"/>
      <c r="F923" s="123"/>
      <c r="G923" s="123"/>
      <c r="H923" s="123"/>
      <c r="I923" s="123"/>
      <c r="J923" s="174"/>
      <c r="K923" s="182"/>
      <c r="L923" s="182"/>
      <c r="M923" s="182"/>
      <c r="N923" s="182"/>
      <c r="O923" s="182"/>
      <c r="P923" s="182"/>
      <c r="Q923" s="182"/>
      <c r="R923" s="182"/>
      <c r="S923" s="182"/>
      <c r="T923" s="182"/>
      <c r="U923" s="182"/>
      <c r="V923" s="182"/>
      <c r="W923" s="182"/>
      <c r="X923" s="182"/>
      <c r="Y923" s="182"/>
    </row>
    <row r="924" spans="1:25" ht="15.75" hidden="1" customHeight="1" x14ac:dyDescent="0.2">
      <c r="A924" s="182"/>
      <c r="B924" s="175"/>
      <c r="C924" s="176"/>
      <c r="D924" s="176"/>
      <c r="E924" s="176"/>
      <c r="F924" s="123"/>
      <c r="G924" s="123"/>
      <c r="H924" s="123"/>
      <c r="I924" s="123"/>
      <c r="J924" s="174"/>
      <c r="K924" s="182"/>
      <c r="L924" s="182"/>
      <c r="M924" s="182"/>
      <c r="N924" s="182"/>
      <c r="O924" s="182"/>
      <c r="P924" s="182"/>
      <c r="Q924" s="182"/>
      <c r="R924" s="182"/>
      <c r="S924" s="182"/>
      <c r="T924" s="182"/>
      <c r="U924" s="182"/>
      <c r="V924" s="182"/>
      <c r="W924" s="182"/>
      <c r="X924" s="182"/>
      <c r="Y924" s="182"/>
    </row>
    <row r="925" spans="1:25" ht="15.75" hidden="1" customHeight="1" x14ac:dyDescent="0.2">
      <c r="A925" s="182"/>
      <c r="B925" s="175"/>
      <c r="C925" s="176"/>
      <c r="D925" s="176"/>
      <c r="E925" s="176"/>
      <c r="F925" s="123"/>
      <c r="G925" s="123"/>
      <c r="H925" s="123"/>
      <c r="I925" s="123"/>
      <c r="J925" s="174"/>
      <c r="K925" s="182"/>
      <c r="L925" s="182"/>
      <c r="M925" s="182"/>
      <c r="N925" s="182"/>
      <c r="O925" s="182"/>
      <c r="P925" s="182"/>
      <c r="Q925" s="182"/>
      <c r="R925" s="182"/>
      <c r="S925" s="182"/>
      <c r="T925" s="182"/>
      <c r="U925" s="182"/>
      <c r="V925" s="182"/>
      <c r="W925" s="182"/>
      <c r="X925" s="182"/>
      <c r="Y925" s="182"/>
    </row>
    <row r="926" spans="1:25" ht="15.75" hidden="1" customHeight="1" x14ac:dyDescent="0.2">
      <c r="A926" s="182"/>
      <c r="B926" s="175"/>
      <c r="C926" s="176"/>
      <c r="D926" s="176"/>
      <c r="E926" s="176"/>
      <c r="F926" s="123"/>
      <c r="G926" s="123"/>
      <c r="H926" s="123"/>
      <c r="I926" s="123"/>
      <c r="J926" s="174"/>
      <c r="K926" s="182"/>
      <c r="L926" s="182"/>
      <c r="M926" s="182"/>
      <c r="N926" s="182"/>
      <c r="O926" s="182"/>
      <c r="P926" s="182"/>
      <c r="Q926" s="182"/>
      <c r="R926" s="182"/>
      <c r="S926" s="182"/>
      <c r="T926" s="182"/>
      <c r="U926" s="182"/>
      <c r="V926" s="182"/>
      <c r="W926" s="182"/>
      <c r="X926" s="182"/>
      <c r="Y926" s="182"/>
    </row>
    <row r="927" spans="1:25" ht="15.75" hidden="1" customHeight="1" x14ac:dyDescent="0.2">
      <c r="A927" s="182"/>
      <c r="B927" s="175"/>
      <c r="C927" s="176"/>
      <c r="D927" s="176"/>
      <c r="E927" s="176"/>
      <c r="F927" s="123"/>
      <c r="G927" s="123"/>
      <c r="H927" s="123"/>
      <c r="I927" s="123"/>
      <c r="J927" s="174"/>
      <c r="K927" s="182"/>
      <c r="L927" s="182"/>
      <c r="M927" s="182"/>
      <c r="N927" s="182"/>
      <c r="O927" s="182"/>
      <c r="P927" s="182"/>
      <c r="Q927" s="182"/>
      <c r="R927" s="182"/>
      <c r="S927" s="182"/>
      <c r="T927" s="182"/>
      <c r="U927" s="182"/>
      <c r="V927" s="182"/>
      <c r="W927" s="182"/>
      <c r="X927" s="182"/>
      <c r="Y927" s="182"/>
    </row>
    <row r="928" spans="1:25" ht="15.75" hidden="1" customHeight="1" x14ac:dyDescent="0.2">
      <c r="A928" s="182"/>
      <c r="B928" s="175"/>
      <c r="C928" s="176"/>
      <c r="D928" s="176"/>
      <c r="E928" s="176"/>
      <c r="F928" s="123"/>
      <c r="G928" s="123"/>
      <c r="H928" s="123"/>
      <c r="I928" s="123"/>
      <c r="J928" s="174"/>
      <c r="K928" s="182"/>
      <c r="L928" s="182"/>
      <c r="M928" s="182"/>
      <c r="N928" s="182"/>
      <c r="O928" s="182"/>
      <c r="P928" s="182"/>
      <c r="Q928" s="182"/>
      <c r="R928" s="182"/>
      <c r="S928" s="182"/>
      <c r="T928" s="182"/>
      <c r="U928" s="182"/>
      <c r="V928" s="182"/>
      <c r="W928" s="182"/>
      <c r="X928" s="182"/>
      <c r="Y928" s="182"/>
    </row>
    <row r="929" spans="1:25" ht="15.75" hidden="1" customHeight="1" x14ac:dyDescent="0.2">
      <c r="A929" s="182"/>
      <c r="B929" s="175"/>
      <c r="C929" s="176"/>
      <c r="D929" s="176"/>
      <c r="E929" s="176"/>
      <c r="F929" s="123"/>
      <c r="G929" s="123"/>
      <c r="H929" s="123"/>
      <c r="I929" s="123"/>
      <c r="J929" s="174"/>
      <c r="K929" s="182"/>
      <c r="L929" s="182"/>
      <c r="M929" s="182"/>
      <c r="N929" s="182"/>
      <c r="O929" s="182"/>
      <c r="P929" s="182"/>
      <c r="Q929" s="182"/>
      <c r="R929" s="182"/>
      <c r="S929" s="182"/>
      <c r="T929" s="182"/>
      <c r="U929" s="182"/>
      <c r="V929" s="182"/>
      <c r="W929" s="182"/>
      <c r="X929" s="182"/>
      <c r="Y929" s="182"/>
    </row>
    <row r="930" spans="1:25" ht="15.75" hidden="1" customHeight="1" x14ac:dyDescent="0.2">
      <c r="A930" s="182"/>
      <c r="B930" s="175"/>
      <c r="C930" s="176"/>
      <c r="D930" s="176"/>
      <c r="E930" s="176"/>
      <c r="F930" s="123"/>
      <c r="G930" s="123"/>
      <c r="H930" s="123"/>
      <c r="I930" s="123"/>
      <c r="J930" s="174"/>
      <c r="K930" s="182"/>
      <c r="L930" s="182"/>
      <c r="M930" s="182"/>
      <c r="N930" s="182"/>
      <c r="O930" s="182"/>
      <c r="P930" s="182"/>
      <c r="Q930" s="182"/>
      <c r="R930" s="182"/>
      <c r="S930" s="182"/>
      <c r="T930" s="182"/>
      <c r="U930" s="182"/>
      <c r="V930" s="182"/>
      <c r="W930" s="182"/>
      <c r="X930" s="182"/>
      <c r="Y930" s="182"/>
    </row>
    <row r="931" spans="1:25" ht="15.75" hidden="1" customHeight="1" x14ac:dyDescent="0.2">
      <c r="A931" s="182"/>
      <c r="B931" s="175"/>
      <c r="C931" s="176"/>
      <c r="D931" s="176"/>
      <c r="E931" s="176"/>
      <c r="F931" s="123"/>
      <c r="G931" s="123"/>
      <c r="H931" s="123"/>
      <c r="I931" s="123"/>
      <c r="J931" s="174"/>
      <c r="K931" s="182"/>
      <c r="L931" s="182"/>
      <c r="M931" s="182"/>
      <c r="N931" s="182"/>
      <c r="O931" s="182"/>
      <c r="P931" s="182"/>
      <c r="Q931" s="182"/>
      <c r="R931" s="182"/>
      <c r="S931" s="182"/>
      <c r="T931" s="182"/>
      <c r="U931" s="182"/>
      <c r="V931" s="182"/>
      <c r="W931" s="182"/>
      <c r="X931" s="182"/>
      <c r="Y931" s="182"/>
    </row>
    <row r="932" spans="1:25" ht="15.75" hidden="1" customHeight="1" x14ac:dyDescent="0.2">
      <c r="A932" s="182"/>
      <c r="B932" s="175"/>
      <c r="C932" s="176"/>
      <c r="D932" s="176"/>
      <c r="E932" s="176"/>
      <c r="F932" s="123"/>
      <c r="G932" s="123"/>
      <c r="H932" s="123"/>
      <c r="I932" s="123"/>
      <c r="J932" s="174"/>
      <c r="K932" s="182"/>
      <c r="L932" s="182"/>
      <c r="M932" s="182"/>
      <c r="N932" s="182"/>
      <c r="O932" s="182"/>
      <c r="P932" s="182"/>
      <c r="Q932" s="182"/>
      <c r="R932" s="182"/>
      <c r="S932" s="182"/>
      <c r="T932" s="182"/>
      <c r="U932" s="182"/>
      <c r="V932" s="182"/>
      <c r="W932" s="182"/>
      <c r="X932" s="182"/>
      <c r="Y932" s="182"/>
    </row>
    <row r="933" spans="1:25" ht="15.75" hidden="1" customHeight="1" x14ac:dyDescent="0.2">
      <c r="A933" s="182"/>
      <c r="B933" s="175"/>
      <c r="C933" s="176"/>
      <c r="D933" s="176"/>
      <c r="E933" s="176"/>
      <c r="F933" s="123"/>
      <c r="G933" s="123"/>
      <c r="H933" s="123"/>
      <c r="I933" s="123"/>
      <c r="J933" s="174"/>
      <c r="K933" s="182"/>
      <c r="L933" s="182"/>
      <c r="M933" s="182"/>
      <c r="N933" s="182"/>
      <c r="O933" s="182"/>
      <c r="P933" s="182"/>
      <c r="Q933" s="182"/>
      <c r="R933" s="182"/>
      <c r="S933" s="182"/>
      <c r="T933" s="182"/>
      <c r="U933" s="182"/>
      <c r="V933" s="182"/>
      <c r="W933" s="182"/>
      <c r="X933" s="182"/>
      <c r="Y933" s="182"/>
    </row>
    <row r="934" spans="1:25" ht="15.75" hidden="1" customHeight="1" x14ac:dyDescent="0.2">
      <c r="A934" s="182"/>
      <c r="B934" s="175"/>
      <c r="C934" s="176"/>
      <c r="D934" s="176"/>
      <c r="E934" s="176"/>
      <c r="F934" s="123"/>
      <c r="G934" s="123"/>
      <c r="H934" s="123"/>
      <c r="I934" s="123"/>
      <c r="J934" s="174"/>
      <c r="K934" s="182"/>
      <c r="L934" s="182"/>
      <c r="M934" s="182"/>
      <c r="N934" s="182"/>
      <c r="O934" s="182"/>
      <c r="P934" s="182"/>
      <c r="Q934" s="182"/>
      <c r="R934" s="182"/>
      <c r="S934" s="182"/>
      <c r="T934" s="182"/>
      <c r="U934" s="182"/>
      <c r="V934" s="182"/>
      <c r="W934" s="182"/>
      <c r="X934" s="182"/>
      <c r="Y934" s="182"/>
    </row>
    <row r="935" spans="1:25" ht="15.75" hidden="1" customHeight="1" x14ac:dyDescent="0.2">
      <c r="A935" s="182"/>
      <c r="B935" s="175"/>
      <c r="C935" s="176"/>
      <c r="D935" s="176"/>
      <c r="E935" s="176"/>
      <c r="F935" s="123"/>
      <c r="G935" s="123"/>
      <c r="H935" s="123"/>
      <c r="I935" s="123"/>
      <c r="J935" s="174"/>
      <c r="K935" s="182"/>
      <c r="L935" s="182"/>
      <c r="M935" s="182"/>
      <c r="N935" s="182"/>
      <c r="O935" s="182"/>
      <c r="P935" s="182"/>
      <c r="Q935" s="182"/>
      <c r="R935" s="182"/>
      <c r="S935" s="182"/>
      <c r="T935" s="182"/>
      <c r="U935" s="182"/>
      <c r="V935" s="182"/>
      <c r="W935" s="182"/>
      <c r="X935" s="182"/>
      <c r="Y935" s="182"/>
    </row>
    <row r="936" spans="1:25" ht="15.75" hidden="1" customHeight="1" x14ac:dyDescent="0.2">
      <c r="A936" s="182"/>
      <c r="B936" s="175"/>
      <c r="C936" s="176"/>
      <c r="D936" s="176"/>
      <c r="E936" s="176"/>
      <c r="F936" s="123"/>
      <c r="G936" s="123"/>
      <c r="H936" s="123"/>
      <c r="I936" s="123"/>
      <c r="J936" s="174"/>
      <c r="K936" s="182"/>
      <c r="L936" s="182"/>
      <c r="M936" s="182"/>
      <c r="N936" s="182"/>
      <c r="O936" s="182"/>
      <c r="P936" s="182"/>
      <c r="Q936" s="182"/>
      <c r="R936" s="182"/>
      <c r="S936" s="182"/>
      <c r="T936" s="182"/>
      <c r="U936" s="182"/>
      <c r="V936" s="182"/>
      <c r="W936" s="182"/>
      <c r="X936" s="182"/>
      <c r="Y936" s="182"/>
    </row>
    <row r="937" spans="1:25" ht="15.75" hidden="1" customHeight="1" x14ac:dyDescent="0.2">
      <c r="A937" s="182"/>
      <c r="B937" s="175"/>
      <c r="C937" s="176"/>
      <c r="D937" s="176"/>
      <c r="E937" s="176"/>
      <c r="F937" s="123"/>
      <c r="G937" s="123"/>
      <c r="H937" s="123"/>
      <c r="I937" s="123"/>
      <c r="J937" s="174"/>
      <c r="K937" s="182"/>
      <c r="L937" s="182"/>
      <c r="M937" s="182"/>
      <c r="N937" s="182"/>
      <c r="O937" s="182"/>
      <c r="P937" s="182"/>
      <c r="Q937" s="182"/>
      <c r="R937" s="182"/>
      <c r="S937" s="182"/>
      <c r="T937" s="182"/>
      <c r="U937" s="182"/>
      <c r="V937" s="182"/>
      <c r="W937" s="182"/>
      <c r="X937" s="182"/>
      <c r="Y937" s="182"/>
    </row>
    <row r="938" spans="1:25" ht="15.75" hidden="1" customHeight="1" x14ac:dyDescent="0.2">
      <c r="A938" s="182"/>
      <c r="B938" s="175"/>
      <c r="C938" s="176"/>
      <c r="D938" s="176"/>
      <c r="E938" s="176"/>
      <c r="F938" s="123"/>
      <c r="G938" s="123"/>
      <c r="H938" s="123"/>
      <c r="I938" s="123"/>
      <c r="J938" s="174"/>
      <c r="K938" s="182"/>
      <c r="L938" s="182"/>
      <c r="M938" s="182"/>
      <c r="N938" s="182"/>
      <c r="O938" s="182"/>
      <c r="P938" s="182"/>
      <c r="Q938" s="182"/>
      <c r="R938" s="182"/>
      <c r="S938" s="182"/>
      <c r="T938" s="182"/>
      <c r="U938" s="182"/>
      <c r="V938" s="182"/>
      <c r="W938" s="182"/>
      <c r="X938" s="182"/>
      <c r="Y938" s="182"/>
    </row>
    <row r="939" spans="1:25" ht="15.75" hidden="1" customHeight="1" x14ac:dyDescent="0.2">
      <c r="A939" s="182"/>
      <c r="B939" s="175"/>
      <c r="C939" s="176"/>
      <c r="D939" s="176"/>
      <c r="E939" s="176"/>
      <c r="F939" s="123"/>
      <c r="G939" s="123"/>
      <c r="H939" s="123"/>
      <c r="I939" s="123"/>
      <c r="J939" s="174"/>
      <c r="K939" s="182"/>
      <c r="L939" s="182"/>
      <c r="M939" s="182"/>
      <c r="N939" s="182"/>
      <c r="O939" s="182"/>
      <c r="P939" s="182"/>
      <c r="Q939" s="182"/>
      <c r="R939" s="182"/>
      <c r="S939" s="182"/>
      <c r="T939" s="182"/>
      <c r="U939" s="182"/>
      <c r="V939" s="182"/>
      <c r="W939" s="182"/>
      <c r="X939" s="182"/>
      <c r="Y939" s="182"/>
    </row>
    <row r="940" spans="1:25" ht="15.75" hidden="1" customHeight="1" x14ac:dyDescent="0.2">
      <c r="A940" s="182"/>
      <c r="B940" s="175"/>
      <c r="C940" s="176"/>
      <c r="D940" s="176"/>
      <c r="E940" s="176"/>
      <c r="F940" s="123"/>
      <c r="G940" s="123"/>
      <c r="H940" s="123"/>
      <c r="I940" s="123"/>
      <c r="J940" s="174"/>
      <c r="K940" s="182"/>
      <c r="L940" s="182"/>
      <c r="M940" s="182"/>
      <c r="N940" s="182"/>
      <c r="O940" s="182"/>
      <c r="P940" s="182"/>
      <c r="Q940" s="182"/>
      <c r="R940" s="182"/>
      <c r="S940" s="182"/>
      <c r="T940" s="182"/>
      <c r="U940" s="182"/>
      <c r="V940" s="182"/>
      <c r="W940" s="182"/>
      <c r="X940" s="182"/>
      <c r="Y940" s="182"/>
    </row>
    <row r="941" spans="1:25" ht="15.75" hidden="1" customHeight="1" x14ac:dyDescent="0.2">
      <c r="A941" s="182"/>
      <c r="B941" s="175"/>
      <c r="C941" s="176"/>
      <c r="D941" s="176"/>
      <c r="E941" s="176"/>
      <c r="F941" s="123"/>
      <c r="G941" s="123"/>
      <c r="H941" s="123"/>
      <c r="I941" s="123"/>
      <c r="J941" s="174"/>
      <c r="K941" s="182"/>
      <c r="L941" s="182"/>
      <c r="M941" s="182"/>
      <c r="N941" s="182"/>
      <c r="O941" s="182"/>
      <c r="P941" s="182"/>
      <c r="Q941" s="182"/>
      <c r="R941" s="182"/>
      <c r="S941" s="182"/>
      <c r="T941" s="182"/>
      <c r="U941" s="182"/>
      <c r="V941" s="182"/>
      <c r="W941" s="182"/>
      <c r="X941" s="182"/>
      <c r="Y941" s="182"/>
    </row>
    <row r="942" spans="1:25" ht="15.75" hidden="1" customHeight="1" x14ac:dyDescent="0.2">
      <c r="A942" s="182"/>
      <c r="B942" s="175"/>
      <c r="C942" s="176"/>
      <c r="D942" s="176"/>
      <c r="E942" s="176"/>
      <c r="F942" s="123"/>
      <c r="G942" s="123"/>
      <c r="H942" s="123"/>
      <c r="I942" s="123"/>
      <c r="J942" s="174"/>
      <c r="K942" s="182"/>
      <c r="L942" s="182"/>
      <c r="M942" s="182"/>
      <c r="N942" s="182"/>
      <c r="O942" s="182"/>
      <c r="P942" s="182"/>
      <c r="Q942" s="182"/>
      <c r="R942" s="182"/>
      <c r="S942" s="182"/>
      <c r="T942" s="182"/>
      <c r="U942" s="182"/>
      <c r="V942" s="182"/>
      <c r="W942" s="182"/>
      <c r="X942" s="182"/>
      <c r="Y942" s="182"/>
    </row>
    <row r="943" spans="1:25" ht="15.75" hidden="1" customHeight="1" x14ac:dyDescent="0.2">
      <c r="A943" s="182"/>
      <c r="B943" s="175"/>
      <c r="C943" s="176"/>
      <c r="D943" s="176"/>
      <c r="E943" s="176"/>
      <c r="F943" s="123"/>
      <c r="G943" s="123"/>
      <c r="H943" s="123"/>
      <c r="I943" s="123"/>
      <c r="J943" s="174"/>
      <c r="K943" s="182"/>
      <c r="L943" s="182"/>
      <c r="M943" s="182"/>
      <c r="N943" s="182"/>
      <c r="O943" s="182"/>
      <c r="P943" s="182"/>
      <c r="Q943" s="182"/>
      <c r="R943" s="182"/>
      <c r="S943" s="182"/>
      <c r="T943" s="182"/>
      <c r="U943" s="182"/>
      <c r="V943" s="182"/>
      <c r="W943" s="182"/>
      <c r="X943" s="182"/>
      <c r="Y943" s="182"/>
    </row>
    <row r="944" spans="1:25" ht="15.75" hidden="1" customHeight="1" x14ac:dyDescent="0.2">
      <c r="A944" s="182"/>
      <c r="B944" s="175"/>
      <c r="C944" s="176"/>
      <c r="D944" s="176"/>
      <c r="E944" s="176"/>
      <c r="F944" s="123"/>
      <c r="G944" s="123"/>
      <c r="H944" s="123"/>
      <c r="I944" s="123"/>
      <c r="J944" s="174"/>
      <c r="K944" s="182"/>
      <c r="L944" s="182"/>
      <c r="M944" s="182"/>
      <c r="N944" s="182"/>
      <c r="O944" s="182"/>
      <c r="P944" s="182"/>
      <c r="Q944" s="182"/>
      <c r="R944" s="182"/>
      <c r="S944" s="182"/>
      <c r="T944" s="182"/>
      <c r="U944" s="182"/>
      <c r="V944" s="182"/>
      <c r="W944" s="182"/>
      <c r="X944" s="182"/>
      <c r="Y944" s="182"/>
    </row>
    <row r="945" spans="1:25" ht="15.75" hidden="1" customHeight="1" x14ac:dyDescent="0.2">
      <c r="A945" s="182"/>
      <c r="B945" s="175"/>
      <c r="C945" s="176"/>
      <c r="D945" s="176"/>
      <c r="E945" s="176"/>
      <c r="F945" s="123"/>
      <c r="G945" s="123"/>
      <c r="H945" s="123"/>
      <c r="I945" s="123"/>
      <c r="J945" s="174"/>
      <c r="K945" s="182"/>
      <c r="L945" s="182"/>
      <c r="M945" s="182"/>
      <c r="N945" s="182"/>
      <c r="O945" s="182"/>
      <c r="P945" s="182"/>
      <c r="Q945" s="182"/>
      <c r="R945" s="182"/>
      <c r="S945" s="182"/>
      <c r="T945" s="182"/>
      <c r="U945" s="182"/>
      <c r="V945" s="182"/>
      <c r="W945" s="182"/>
      <c r="X945" s="182"/>
      <c r="Y945" s="182"/>
    </row>
    <row r="946" spans="1:25" ht="15.75" hidden="1" customHeight="1" x14ac:dyDescent="0.2">
      <c r="A946" s="182"/>
      <c r="B946" s="175"/>
      <c r="C946" s="176"/>
      <c r="D946" s="176"/>
      <c r="E946" s="176"/>
      <c r="F946" s="123"/>
      <c r="G946" s="123"/>
      <c r="H946" s="123"/>
      <c r="I946" s="123"/>
      <c r="J946" s="174"/>
      <c r="K946" s="182"/>
      <c r="L946" s="182"/>
      <c r="M946" s="182"/>
      <c r="N946" s="182"/>
      <c r="O946" s="182"/>
      <c r="P946" s="182"/>
      <c r="Q946" s="182"/>
      <c r="R946" s="182"/>
      <c r="S946" s="182"/>
      <c r="T946" s="182"/>
      <c r="U946" s="182"/>
      <c r="V946" s="182"/>
      <c r="W946" s="182"/>
      <c r="X946" s="182"/>
      <c r="Y946" s="182"/>
    </row>
    <row r="947" spans="1:25" ht="15.75" hidden="1" customHeight="1" x14ac:dyDescent="0.2">
      <c r="A947" s="182"/>
      <c r="B947" s="175"/>
      <c r="C947" s="176"/>
      <c r="D947" s="176"/>
      <c r="E947" s="176"/>
      <c r="F947" s="123"/>
      <c r="G947" s="123"/>
      <c r="H947" s="123"/>
      <c r="I947" s="123"/>
      <c r="J947" s="174"/>
      <c r="K947" s="182"/>
      <c r="L947" s="182"/>
      <c r="M947" s="182"/>
      <c r="N947" s="182"/>
      <c r="O947" s="182"/>
      <c r="P947" s="182"/>
      <c r="Q947" s="182"/>
      <c r="R947" s="182"/>
      <c r="S947" s="182"/>
      <c r="T947" s="182"/>
      <c r="U947" s="182"/>
      <c r="V947" s="182"/>
      <c r="W947" s="182"/>
      <c r="X947" s="182"/>
      <c r="Y947" s="182"/>
    </row>
    <row r="948" spans="1:25" ht="15.75" hidden="1" customHeight="1" x14ac:dyDescent="0.2">
      <c r="A948" s="182"/>
      <c r="B948" s="175"/>
      <c r="C948" s="176"/>
      <c r="D948" s="176"/>
      <c r="E948" s="176"/>
      <c r="F948" s="123"/>
      <c r="G948" s="123"/>
      <c r="H948" s="123"/>
      <c r="I948" s="123"/>
      <c r="J948" s="174"/>
      <c r="K948" s="182"/>
      <c r="L948" s="182"/>
      <c r="M948" s="182"/>
      <c r="N948" s="182"/>
      <c r="O948" s="182"/>
      <c r="P948" s="182"/>
      <c r="Q948" s="182"/>
      <c r="R948" s="182"/>
      <c r="S948" s="182"/>
      <c r="T948" s="182"/>
      <c r="U948" s="182"/>
      <c r="V948" s="182"/>
      <c r="W948" s="182"/>
      <c r="X948" s="182"/>
      <c r="Y948" s="182"/>
    </row>
    <row r="949" spans="1:25" ht="15.75" hidden="1" customHeight="1" x14ac:dyDescent="0.2">
      <c r="A949" s="182"/>
      <c r="B949" s="175"/>
      <c r="C949" s="176"/>
      <c r="D949" s="176"/>
      <c r="E949" s="176"/>
      <c r="F949" s="123"/>
      <c r="G949" s="123"/>
      <c r="H949" s="123"/>
      <c r="I949" s="123"/>
      <c r="J949" s="174"/>
      <c r="K949" s="182"/>
      <c r="L949" s="182"/>
      <c r="M949" s="182"/>
      <c r="N949" s="182"/>
      <c r="O949" s="182"/>
      <c r="P949" s="182"/>
      <c r="Q949" s="182"/>
      <c r="R949" s="182"/>
      <c r="S949" s="182"/>
      <c r="T949" s="182"/>
      <c r="U949" s="182"/>
      <c r="V949" s="182"/>
      <c r="W949" s="182"/>
      <c r="X949" s="182"/>
      <c r="Y949" s="182"/>
    </row>
    <row r="950" spans="1:25" ht="15.75" hidden="1" customHeight="1" x14ac:dyDescent="0.2">
      <c r="A950" s="182"/>
      <c r="B950" s="175"/>
      <c r="C950" s="176"/>
      <c r="D950" s="176"/>
      <c r="E950" s="176"/>
      <c r="F950" s="123"/>
      <c r="G950" s="123"/>
      <c r="H950" s="123"/>
      <c r="I950" s="123"/>
      <c r="J950" s="174"/>
      <c r="K950" s="182"/>
      <c r="L950" s="182"/>
      <c r="M950" s="182"/>
      <c r="N950" s="182"/>
      <c r="O950" s="182"/>
      <c r="P950" s="182"/>
      <c r="Q950" s="182"/>
      <c r="R950" s="182"/>
      <c r="S950" s="182"/>
      <c r="T950" s="182"/>
      <c r="U950" s="182"/>
      <c r="V950" s="182"/>
      <c r="W950" s="182"/>
      <c r="X950" s="182"/>
      <c r="Y950" s="182"/>
    </row>
    <row r="951" spans="1:25" ht="15.75" hidden="1" customHeight="1" x14ac:dyDescent="0.2">
      <c r="A951" s="182"/>
      <c r="B951" s="175"/>
      <c r="C951" s="176"/>
      <c r="D951" s="176"/>
      <c r="E951" s="176"/>
      <c r="F951" s="123"/>
      <c r="G951" s="123"/>
      <c r="H951" s="123"/>
      <c r="I951" s="123"/>
      <c r="J951" s="174"/>
      <c r="K951" s="182"/>
      <c r="L951" s="182"/>
      <c r="M951" s="182"/>
      <c r="N951" s="182"/>
      <c r="O951" s="182"/>
      <c r="P951" s="182"/>
      <c r="Q951" s="182"/>
      <c r="R951" s="182"/>
      <c r="S951" s="182"/>
      <c r="T951" s="182"/>
      <c r="U951" s="182"/>
      <c r="V951" s="182"/>
      <c r="W951" s="182"/>
      <c r="X951" s="182"/>
      <c r="Y951" s="182"/>
    </row>
    <row r="952" spans="1:25" ht="15.75" hidden="1" customHeight="1" x14ac:dyDescent="0.2">
      <c r="A952" s="182"/>
      <c r="B952" s="175"/>
      <c r="C952" s="176"/>
      <c r="D952" s="176"/>
      <c r="E952" s="176"/>
      <c r="F952" s="123"/>
      <c r="G952" s="123"/>
      <c r="H952" s="123"/>
      <c r="I952" s="123"/>
      <c r="J952" s="174"/>
      <c r="K952" s="182"/>
      <c r="L952" s="182"/>
      <c r="M952" s="182"/>
      <c r="N952" s="182"/>
      <c r="O952" s="182"/>
      <c r="P952" s="182"/>
      <c r="Q952" s="182"/>
      <c r="R952" s="182"/>
      <c r="S952" s="182"/>
      <c r="T952" s="182"/>
      <c r="U952" s="182"/>
      <c r="V952" s="182"/>
      <c r="W952" s="182"/>
      <c r="X952" s="182"/>
      <c r="Y952" s="182"/>
    </row>
    <row r="953" spans="1:25" ht="15.75" hidden="1" customHeight="1" x14ac:dyDescent="0.2">
      <c r="A953" s="182"/>
      <c r="B953" s="175"/>
      <c r="C953" s="176"/>
      <c r="D953" s="176"/>
      <c r="E953" s="176"/>
      <c r="F953" s="123"/>
      <c r="G953" s="123"/>
      <c r="H953" s="123"/>
      <c r="I953" s="123"/>
      <c r="J953" s="174"/>
      <c r="K953" s="182"/>
      <c r="L953" s="182"/>
      <c r="M953" s="182"/>
      <c r="N953" s="182"/>
      <c r="O953" s="182"/>
      <c r="P953" s="182"/>
      <c r="Q953" s="182"/>
      <c r="R953" s="182"/>
      <c r="S953" s="182"/>
      <c r="T953" s="182"/>
      <c r="U953" s="182"/>
      <c r="V953" s="182"/>
      <c r="W953" s="182"/>
      <c r="X953" s="182"/>
      <c r="Y953" s="182"/>
    </row>
    <row r="954" spans="1:25" ht="15.75" hidden="1" customHeight="1" x14ac:dyDescent="0.2">
      <c r="A954" s="182"/>
      <c r="B954" s="175"/>
      <c r="C954" s="176"/>
      <c r="D954" s="176"/>
      <c r="E954" s="176"/>
      <c r="F954" s="123"/>
      <c r="G954" s="123"/>
      <c r="H954" s="123"/>
      <c r="I954" s="123"/>
      <c r="J954" s="174"/>
      <c r="K954" s="182"/>
      <c r="L954" s="182"/>
      <c r="M954" s="182"/>
      <c r="N954" s="182"/>
      <c r="O954" s="182"/>
      <c r="P954" s="182"/>
      <c r="Q954" s="182"/>
      <c r="R954" s="182"/>
      <c r="S954" s="182"/>
      <c r="T954" s="182"/>
      <c r="U954" s="182"/>
      <c r="V954" s="182"/>
      <c r="W954" s="182"/>
      <c r="X954" s="182"/>
      <c r="Y954" s="182"/>
    </row>
    <row r="955" spans="1:25" ht="15.75" hidden="1" customHeight="1" x14ac:dyDescent="0.2">
      <c r="A955" s="182"/>
      <c r="B955" s="175"/>
      <c r="C955" s="176"/>
      <c r="D955" s="176"/>
      <c r="E955" s="176"/>
      <c r="F955" s="123"/>
      <c r="G955" s="123"/>
      <c r="H955" s="123"/>
      <c r="I955" s="123"/>
      <c r="J955" s="174"/>
      <c r="K955" s="182"/>
      <c r="L955" s="182"/>
      <c r="M955" s="182"/>
      <c r="N955" s="182"/>
      <c r="O955" s="182"/>
      <c r="P955" s="182"/>
      <c r="Q955" s="182"/>
      <c r="R955" s="182"/>
      <c r="S955" s="182"/>
      <c r="T955" s="182"/>
      <c r="U955" s="182"/>
      <c r="V955" s="182"/>
      <c r="W955" s="182"/>
      <c r="X955" s="182"/>
      <c r="Y955" s="182"/>
    </row>
    <row r="956" spans="1:25" ht="15.75" hidden="1" customHeight="1" x14ac:dyDescent="0.2">
      <c r="A956" s="182"/>
      <c r="B956" s="175"/>
      <c r="C956" s="176"/>
      <c r="D956" s="176"/>
      <c r="E956" s="176"/>
      <c r="F956" s="123"/>
      <c r="G956" s="123"/>
      <c r="H956" s="123"/>
      <c r="I956" s="123"/>
      <c r="J956" s="174"/>
      <c r="K956" s="182"/>
      <c r="L956" s="182"/>
      <c r="M956" s="182"/>
      <c r="N956" s="182"/>
      <c r="O956" s="182"/>
      <c r="P956" s="182"/>
      <c r="Q956" s="182"/>
      <c r="R956" s="182"/>
      <c r="S956" s="182"/>
      <c r="T956" s="182"/>
      <c r="U956" s="182"/>
      <c r="V956" s="182"/>
      <c r="W956" s="182"/>
      <c r="X956" s="182"/>
      <c r="Y956" s="182"/>
    </row>
    <row r="957" spans="1:25" ht="15.75" hidden="1" customHeight="1" x14ac:dyDescent="0.2">
      <c r="A957" s="182"/>
      <c r="B957" s="175"/>
      <c r="C957" s="176"/>
      <c r="D957" s="176"/>
      <c r="E957" s="176"/>
      <c r="F957" s="123"/>
      <c r="G957" s="123"/>
      <c r="H957" s="123"/>
      <c r="I957" s="123"/>
      <c r="J957" s="174"/>
      <c r="K957" s="182"/>
      <c r="L957" s="182"/>
      <c r="M957" s="182"/>
      <c r="N957" s="182"/>
      <c r="O957" s="182"/>
      <c r="P957" s="182"/>
      <c r="Q957" s="182"/>
      <c r="R957" s="182"/>
      <c r="S957" s="182"/>
      <c r="T957" s="182"/>
      <c r="U957" s="182"/>
      <c r="V957" s="182"/>
      <c r="W957" s="182"/>
      <c r="X957" s="182"/>
      <c r="Y957" s="182"/>
    </row>
    <row r="958" spans="1:25" ht="15.75" hidden="1" customHeight="1" x14ac:dyDescent="0.2">
      <c r="A958" s="182"/>
      <c r="B958" s="175"/>
      <c r="C958" s="176"/>
      <c r="D958" s="176"/>
      <c r="E958" s="176"/>
      <c r="F958" s="123"/>
      <c r="G958" s="123"/>
      <c r="H958" s="123"/>
      <c r="I958" s="123"/>
      <c r="J958" s="174"/>
      <c r="K958" s="182"/>
      <c r="L958" s="182"/>
      <c r="M958" s="182"/>
      <c r="N958" s="182"/>
      <c r="O958" s="182"/>
      <c r="P958" s="182"/>
      <c r="Q958" s="182"/>
      <c r="R958" s="182"/>
      <c r="S958" s="182"/>
      <c r="T958" s="182"/>
      <c r="U958" s="182"/>
      <c r="V958" s="182"/>
      <c r="W958" s="182"/>
      <c r="X958" s="182"/>
      <c r="Y958" s="182"/>
    </row>
    <row r="959" spans="1:25" ht="15.75" hidden="1" customHeight="1" x14ac:dyDescent="0.2">
      <c r="A959" s="182"/>
      <c r="B959" s="175"/>
      <c r="C959" s="176"/>
      <c r="D959" s="176"/>
      <c r="E959" s="176"/>
      <c r="F959" s="123"/>
      <c r="G959" s="123"/>
      <c r="H959" s="123"/>
      <c r="I959" s="123"/>
      <c r="J959" s="174"/>
      <c r="K959" s="182"/>
      <c r="L959" s="182"/>
      <c r="M959" s="182"/>
      <c r="N959" s="182"/>
      <c r="O959" s="182"/>
      <c r="P959" s="182"/>
      <c r="Q959" s="182"/>
      <c r="R959" s="182"/>
      <c r="S959" s="182"/>
      <c r="T959" s="182"/>
      <c r="U959" s="182"/>
      <c r="V959" s="182"/>
      <c r="W959" s="182"/>
      <c r="X959" s="182"/>
      <c r="Y959" s="182"/>
    </row>
    <row r="960" spans="1:25" ht="15.75" hidden="1" customHeight="1" x14ac:dyDescent="0.2">
      <c r="A960" s="182"/>
      <c r="B960" s="175"/>
      <c r="C960" s="176"/>
      <c r="D960" s="176"/>
      <c r="E960" s="176"/>
      <c r="F960" s="123"/>
      <c r="G960" s="123"/>
      <c r="H960" s="123"/>
      <c r="I960" s="123"/>
      <c r="J960" s="174"/>
      <c r="K960" s="182"/>
      <c r="L960" s="182"/>
      <c r="M960" s="182"/>
      <c r="N960" s="182"/>
      <c r="O960" s="182"/>
      <c r="P960" s="182"/>
      <c r="Q960" s="182"/>
      <c r="R960" s="182"/>
      <c r="S960" s="182"/>
      <c r="T960" s="182"/>
      <c r="U960" s="182"/>
      <c r="V960" s="182"/>
      <c r="W960" s="182"/>
      <c r="X960" s="182"/>
      <c r="Y960" s="182"/>
    </row>
    <row r="961" spans="1:25" ht="15.75" hidden="1" customHeight="1" x14ac:dyDescent="0.2">
      <c r="A961" s="182"/>
      <c r="B961" s="175"/>
      <c r="C961" s="176"/>
      <c r="D961" s="176"/>
      <c r="E961" s="176"/>
      <c r="F961" s="123"/>
      <c r="G961" s="123"/>
      <c r="H961" s="123"/>
      <c r="I961" s="123"/>
      <c r="J961" s="174"/>
      <c r="K961" s="182"/>
      <c r="L961" s="182"/>
      <c r="M961" s="182"/>
      <c r="N961" s="182"/>
      <c r="O961" s="182"/>
      <c r="P961" s="182"/>
      <c r="Q961" s="182"/>
      <c r="R961" s="182"/>
      <c r="S961" s="182"/>
      <c r="T961" s="182"/>
      <c r="U961" s="182"/>
      <c r="V961" s="182"/>
      <c r="W961" s="182"/>
      <c r="X961" s="182"/>
      <c r="Y961" s="182"/>
    </row>
    <row r="962" spans="1:25" ht="15.75" hidden="1" customHeight="1" x14ac:dyDescent="0.2">
      <c r="A962" s="182"/>
      <c r="B962" s="175"/>
      <c r="C962" s="176"/>
      <c r="D962" s="176"/>
      <c r="E962" s="176"/>
      <c r="F962" s="123"/>
      <c r="G962" s="123"/>
      <c r="H962" s="123"/>
      <c r="I962" s="123"/>
      <c r="J962" s="174"/>
      <c r="K962" s="182"/>
      <c r="L962" s="182"/>
      <c r="M962" s="182"/>
      <c r="N962" s="182"/>
      <c r="O962" s="182"/>
      <c r="P962" s="182"/>
      <c r="Q962" s="182"/>
      <c r="R962" s="182"/>
      <c r="S962" s="182"/>
      <c r="T962" s="182"/>
      <c r="U962" s="182"/>
      <c r="V962" s="182"/>
      <c r="W962" s="182"/>
      <c r="X962" s="182"/>
      <c r="Y962" s="182"/>
    </row>
    <row r="963" spans="1:25" ht="15.75" hidden="1" customHeight="1" x14ac:dyDescent="0.2">
      <c r="A963" s="182"/>
      <c r="B963" s="175"/>
      <c r="C963" s="176"/>
      <c r="D963" s="176"/>
      <c r="E963" s="176"/>
      <c r="F963" s="123"/>
      <c r="G963" s="123"/>
      <c r="H963" s="123"/>
      <c r="I963" s="123"/>
      <c r="J963" s="174"/>
      <c r="K963" s="182"/>
      <c r="L963" s="182"/>
      <c r="M963" s="182"/>
      <c r="N963" s="182"/>
      <c r="O963" s="182"/>
      <c r="P963" s="182"/>
      <c r="Q963" s="182"/>
      <c r="R963" s="182"/>
      <c r="S963" s="182"/>
      <c r="T963" s="182"/>
      <c r="U963" s="182"/>
      <c r="V963" s="182"/>
      <c r="W963" s="182"/>
      <c r="X963" s="182"/>
      <c r="Y963" s="182"/>
    </row>
    <row r="964" spans="1:25" ht="15.75" hidden="1" customHeight="1" x14ac:dyDescent="0.2">
      <c r="A964" s="182"/>
      <c r="B964" s="175"/>
      <c r="C964" s="176"/>
      <c r="D964" s="176"/>
      <c r="E964" s="176"/>
      <c r="F964" s="123"/>
      <c r="G964" s="123"/>
      <c r="H964" s="123"/>
      <c r="I964" s="123"/>
      <c r="J964" s="174"/>
      <c r="K964" s="182"/>
      <c r="L964" s="182"/>
      <c r="M964" s="182"/>
      <c r="N964" s="182"/>
      <c r="O964" s="182"/>
      <c r="P964" s="182"/>
      <c r="Q964" s="182"/>
      <c r="R964" s="182"/>
      <c r="S964" s="182"/>
      <c r="T964" s="182"/>
      <c r="U964" s="182"/>
      <c r="V964" s="182"/>
      <c r="W964" s="182"/>
      <c r="X964" s="182"/>
      <c r="Y964" s="182"/>
    </row>
    <row r="965" spans="1:25" ht="15.75" hidden="1" customHeight="1" x14ac:dyDescent="0.2">
      <c r="A965" s="182"/>
      <c r="B965" s="175"/>
      <c r="C965" s="176"/>
      <c r="D965" s="176"/>
      <c r="E965" s="176"/>
      <c r="F965" s="123"/>
      <c r="G965" s="123"/>
      <c r="H965" s="123"/>
      <c r="I965" s="123"/>
      <c r="J965" s="174"/>
      <c r="K965" s="182"/>
      <c r="L965" s="182"/>
      <c r="M965" s="182"/>
      <c r="N965" s="182"/>
      <c r="O965" s="182"/>
      <c r="P965" s="182"/>
      <c r="Q965" s="182"/>
      <c r="R965" s="182"/>
      <c r="S965" s="182"/>
      <c r="T965" s="182"/>
      <c r="U965" s="182"/>
      <c r="V965" s="182"/>
      <c r="W965" s="182"/>
      <c r="X965" s="182"/>
      <c r="Y965" s="182"/>
    </row>
    <row r="966" spans="1:25" ht="15.75" hidden="1" customHeight="1" x14ac:dyDescent="0.2">
      <c r="A966" s="182"/>
      <c r="B966" s="175"/>
      <c r="C966" s="176"/>
      <c r="D966" s="176"/>
      <c r="E966" s="176"/>
      <c r="F966" s="123"/>
      <c r="G966" s="123"/>
      <c r="H966" s="123"/>
      <c r="I966" s="123"/>
      <c r="J966" s="174"/>
      <c r="K966" s="182"/>
      <c r="L966" s="182"/>
      <c r="M966" s="182"/>
      <c r="N966" s="182"/>
      <c r="O966" s="182"/>
      <c r="P966" s="182"/>
      <c r="Q966" s="182"/>
      <c r="R966" s="182"/>
      <c r="S966" s="182"/>
      <c r="T966" s="182"/>
      <c r="U966" s="182"/>
      <c r="V966" s="182"/>
      <c r="W966" s="182"/>
      <c r="X966" s="182"/>
      <c r="Y966" s="182"/>
    </row>
    <row r="967" spans="1:25" ht="15.75" hidden="1" customHeight="1" x14ac:dyDescent="0.2">
      <c r="A967" s="182"/>
      <c r="B967" s="175"/>
      <c r="C967" s="176"/>
      <c r="D967" s="176"/>
      <c r="E967" s="176"/>
      <c r="F967" s="123"/>
      <c r="G967" s="123"/>
      <c r="H967" s="123"/>
      <c r="I967" s="123"/>
      <c r="J967" s="174"/>
      <c r="K967" s="182"/>
      <c r="L967" s="182"/>
      <c r="M967" s="182"/>
      <c r="N967" s="182"/>
      <c r="O967" s="182"/>
      <c r="P967" s="182"/>
      <c r="Q967" s="182"/>
      <c r="R967" s="182"/>
      <c r="S967" s="182"/>
      <c r="T967" s="182"/>
      <c r="U967" s="182"/>
      <c r="V967" s="182"/>
      <c r="W967" s="182"/>
      <c r="X967" s="182"/>
      <c r="Y967" s="182"/>
    </row>
    <row r="968" spans="1:25" ht="15.75" hidden="1" customHeight="1" x14ac:dyDescent="0.2">
      <c r="A968" s="182"/>
      <c r="B968" s="175"/>
      <c r="C968" s="176"/>
      <c r="D968" s="176"/>
      <c r="E968" s="176"/>
      <c r="F968" s="123"/>
      <c r="G968" s="123"/>
      <c r="H968" s="123"/>
      <c r="I968" s="123"/>
      <c r="J968" s="174"/>
      <c r="K968" s="182"/>
      <c r="L968" s="182"/>
      <c r="M968" s="182"/>
      <c r="N968" s="182"/>
      <c r="O968" s="182"/>
      <c r="P968" s="182"/>
      <c r="Q968" s="182"/>
      <c r="R968" s="182"/>
      <c r="S968" s="182"/>
      <c r="T968" s="182"/>
      <c r="U968" s="182"/>
      <c r="V968" s="182"/>
      <c r="W968" s="182"/>
      <c r="X968" s="182"/>
      <c r="Y968" s="182"/>
    </row>
    <row r="969" spans="1:25" ht="15.75" hidden="1" customHeight="1" x14ac:dyDescent="0.2">
      <c r="A969" s="182"/>
      <c r="B969" s="175"/>
      <c r="C969" s="176"/>
      <c r="D969" s="176"/>
      <c r="E969" s="176"/>
      <c r="F969" s="123"/>
      <c r="G969" s="123"/>
      <c r="H969" s="123"/>
      <c r="I969" s="123"/>
      <c r="J969" s="174"/>
      <c r="K969" s="182"/>
      <c r="L969" s="182"/>
      <c r="M969" s="182"/>
      <c r="N969" s="182"/>
      <c r="O969" s="182"/>
      <c r="P969" s="182"/>
      <c r="Q969" s="182"/>
      <c r="R969" s="182"/>
      <c r="S969" s="182"/>
      <c r="T969" s="182"/>
      <c r="U969" s="182"/>
      <c r="V969" s="182"/>
      <c r="W969" s="182"/>
      <c r="X969" s="182"/>
      <c r="Y969" s="182"/>
    </row>
    <row r="970" spans="1:25" ht="15.75" hidden="1" customHeight="1" x14ac:dyDescent="0.2">
      <c r="A970" s="182"/>
      <c r="B970" s="175"/>
      <c r="C970" s="176"/>
      <c r="D970" s="176"/>
      <c r="E970" s="176"/>
      <c r="F970" s="123"/>
      <c r="G970" s="123"/>
      <c r="H970" s="123"/>
      <c r="I970" s="123"/>
      <c r="J970" s="174"/>
      <c r="K970" s="182"/>
      <c r="L970" s="182"/>
      <c r="M970" s="182"/>
      <c r="N970" s="182"/>
      <c r="O970" s="182"/>
      <c r="P970" s="182"/>
      <c r="Q970" s="182"/>
      <c r="R970" s="182"/>
      <c r="S970" s="182"/>
      <c r="T970" s="182"/>
      <c r="U970" s="182"/>
      <c r="V970" s="182"/>
      <c r="W970" s="182"/>
      <c r="X970" s="182"/>
      <c r="Y970" s="182"/>
    </row>
    <row r="971" spans="1:25" ht="15.75" hidden="1" customHeight="1" x14ac:dyDescent="0.2">
      <c r="A971" s="182"/>
      <c r="B971" s="175"/>
      <c r="C971" s="176"/>
      <c r="D971" s="176"/>
      <c r="E971" s="176"/>
      <c r="F971" s="123"/>
      <c r="G971" s="123"/>
      <c r="H971" s="123"/>
      <c r="I971" s="123"/>
      <c r="J971" s="174"/>
      <c r="K971" s="182"/>
      <c r="L971" s="182"/>
      <c r="M971" s="182"/>
      <c r="N971" s="182"/>
      <c r="O971" s="182"/>
      <c r="P971" s="182"/>
      <c r="Q971" s="182"/>
      <c r="R971" s="182"/>
      <c r="S971" s="182"/>
      <c r="T971" s="182"/>
      <c r="U971" s="182"/>
      <c r="V971" s="182"/>
      <c r="W971" s="182"/>
      <c r="X971" s="182"/>
      <c r="Y971" s="182"/>
    </row>
    <row r="972" spans="1:25" ht="15.75" hidden="1" customHeight="1" x14ac:dyDescent="0.2">
      <c r="A972" s="182"/>
      <c r="B972" s="175"/>
      <c r="C972" s="176"/>
      <c r="D972" s="176"/>
      <c r="E972" s="176"/>
      <c r="F972" s="123"/>
      <c r="G972" s="123"/>
      <c r="H972" s="123"/>
      <c r="I972" s="123"/>
      <c r="J972" s="174"/>
      <c r="K972" s="182"/>
      <c r="L972" s="182"/>
      <c r="M972" s="182"/>
      <c r="N972" s="182"/>
      <c r="O972" s="182"/>
      <c r="P972" s="182"/>
      <c r="Q972" s="182"/>
      <c r="R972" s="182"/>
      <c r="S972" s="182"/>
      <c r="T972" s="182"/>
      <c r="U972" s="182"/>
      <c r="V972" s="182"/>
      <c r="W972" s="182"/>
      <c r="X972" s="182"/>
      <c r="Y972" s="182"/>
    </row>
    <row r="973" spans="1:25" ht="15.75" hidden="1" customHeight="1" x14ac:dyDescent="0.2">
      <c r="A973" s="182"/>
      <c r="B973" s="175"/>
      <c r="C973" s="176"/>
      <c r="D973" s="176"/>
      <c r="E973" s="176"/>
      <c r="F973" s="123"/>
      <c r="G973" s="123"/>
      <c r="H973" s="123"/>
      <c r="I973" s="123"/>
      <c r="J973" s="174"/>
      <c r="K973" s="182"/>
      <c r="L973" s="182"/>
      <c r="M973" s="182"/>
      <c r="N973" s="182"/>
      <c r="O973" s="182"/>
      <c r="P973" s="182"/>
      <c r="Q973" s="182"/>
      <c r="R973" s="182"/>
      <c r="S973" s="182"/>
      <c r="T973" s="182"/>
      <c r="U973" s="182"/>
      <c r="V973" s="182"/>
      <c r="W973" s="182"/>
      <c r="X973" s="182"/>
      <c r="Y973" s="182"/>
    </row>
    <row r="974" spans="1:25" ht="15.75" hidden="1" customHeight="1" x14ac:dyDescent="0.2">
      <c r="A974" s="182"/>
      <c r="B974" s="175"/>
      <c r="C974" s="176"/>
      <c r="D974" s="176"/>
      <c r="E974" s="176"/>
      <c r="F974" s="123"/>
      <c r="G974" s="123"/>
      <c r="H974" s="123"/>
      <c r="I974" s="123"/>
      <c r="J974" s="174"/>
      <c r="K974" s="182"/>
      <c r="L974" s="182"/>
      <c r="M974" s="182"/>
      <c r="N974" s="182"/>
      <c r="O974" s="182"/>
      <c r="P974" s="182"/>
      <c r="Q974" s="182"/>
      <c r="R974" s="182"/>
      <c r="S974" s="182"/>
      <c r="T974" s="182"/>
      <c r="U974" s="182"/>
      <c r="V974" s="182"/>
      <c r="W974" s="182"/>
      <c r="X974" s="182"/>
      <c r="Y974" s="182"/>
    </row>
    <row r="975" spans="1:25" ht="15.75" hidden="1" customHeight="1" x14ac:dyDescent="0.2">
      <c r="A975" s="182"/>
      <c r="B975" s="175"/>
      <c r="C975" s="176"/>
      <c r="D975" s="176"/>
      <c r="E975" s="176"/>
      <c r="F975" s="123"/>
      <c r="G975" s="123"/>
      <c r="H975" s="123"/>
      <c r="I975" s="123"/>
      <c r="J975" s="174"/>
      <c r="K975" s="182"/>
      <c r="L975" s="182"/>
      <c r="M975" s="182"/>
      <c r="N975" s="182"/>
      <c r="O975" s="182"/>
      <c r="P975" s="182"/>
      <c r="Q975" s="182"/>
      <c r="R975" s="182"/>
      <c r="S975" s="182"/>
      <c r="T975" s="182"/>
      <c r="U975" s="182"/>
      <c r="V975" s="182"/>
      <c r="W975" s="182"/>
      <c r="X975" s="182"/>
      <c r="Y975" s="182"/>
    </row>
    <row r="976" spans="1:25" ht="15.75" hidden="1" customHeight="1" x14ac:dyDescent="0.2">
      <c r="A976" s="182"/>
      <c r="B976" s="175"/>
      <c r="C976" s="176"/>
      <c r="D976" s="176"/>
      <c r="E976" s="176"/>
      <c r="F976" s="123"/>
      <c r="G976" s="123"/>
      <c r="H976" s="123"/>
      <c r="I976" s="123"/>
      <c r="J976" s="174"/>
      <c r="K976" s="182"/>
      <c r="L976" s="182"/>
      <c r="M976" s="182"/>
      <c r="N976" s="182"/>
      <c r="O976" s="182"/>
      <c r="P976" s="182"/>
      <c r="Q976" s="182"/>
      <c r="R976" s="182"/>
      <c r="S976" s="182"/>
      <c r="T976" s="182"/>
      <c r="U976" s="182"/>
      <c r="V976" s="182"/>
      <c r="W976" s="182"/>
      <c r="X976" s="182"/>
      <c r="Y976" s="182"/>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87"/>
  <sheetViews>
    <sheetView zoomScale="80" zoomScaleNormal="80" workbookViewId="0"/>
  </sheetViews>
  <sheetFormatPr baseColWidth="10" defaultColWidth="0" defaultRowHeight="0" customHeight="1" zeroHeight="1" x14ac:dyDescent="0.25"/>
  <cols>
    <col min="1" max="1" width="2.7109375" style="119" customWidth="1"/>
    <col min="2" max="2" width="4.42578125" style="175" customWidth="1"/>
    <col min="3" max="3" width="30" style="176" customWidth="1"/>
    <col min="4" max="4" width="21.85546875" style="176" customWidth="1"/>
    <col min="5" max="5" width="30" style="176" customWidth="1"/>
    <col min="6" max="6" width="20" style="123" customWidth="1"/>
    <col min="7" max="8" width="13.42578125" style="123" customWidth="1"/>
    <col min="9" max="9" width="15.28515625" style="123" customWidth="1"/>
    <col min="10" max="10" width="58.42578125" style="174" customWidth="1"/>
    <col min="11" max="11" width="4.28515625" style="119" customWidth="1"/>
    <col min="12"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798" t="s">
        <v>511</v>
      </c>
      <c r="D2" s="798"/>
      <c r="E2" s="798"/>
      <c r="F2" s="798"/>
      <c r="G2" s="798"/>
      <c r="H2" s="798"/>
      <c r="I2" s="798"/>
      <c r="J2" s="798"/>
    </row>
    <row r="3" spans="1:11" ht="18.75" customHeight="1" x14ac:dyDescent="0.25">
      <c r="B3" s="124"/>
      <c r="C3" s="125"/>
      <c r="D3" s="126"/>
      <c r="E3" s="125"/>
      <c r="F3" s="127"/>
      <c r="G3" s="128"/>
      <c r="H3" s="129"/>
      <c r="I3" s="129"/>
      <c r="J3" s="130"/>
    </row>
    <row r="4" spans="1:11" ht="29.25" customHeight="1" x14ac:dyDescent="0.25">
      <c r="B4" s="124"/>
      <c r="C4" s="131" t="s">
        <v>477</v>
      </c>
      <c r="D4" s="799" t="s">
        <v>492</v>
      </c>
      <c r="E4" s="799"/>
      <c r="F4" s="799"/>
      <c r="G4" s="799"/>
      <c r="H4" s="799"/>
      <c r="I4" s="799"/>
      <c r="J4" s="799"/>
    </row>
    <row r="5" spans="1:11" ht="6.75" customHeight="1" x14ac:dyDescent="0.25">
      <c r="B5" s="124"/>
      <c r="C5" s="132"/>
      <c r="D5" s="133"/>
      <c r="E5" s="125"/>
      <c r="F5" s="134"/>
      <c r="G5" s="134"/>
      <c r="H5" s="134"/>
      <c r="I5" s="134"/>
      <c r="J5" s="130"/>
    </row>
    <row r="6" spans="1:11" ht="17.25" customHeight="1" x14ac:dyDescent="0.25">
      <c r="B6" s="124"/>
      <c r="C6" s="131" t="s">
        <v>479</v>
      </c>
      <c r="D6" s="799">
        <v>1</v>
      </c>
      <c r="E6" s="799"/>
      <c r="F6" s="799"/>
      <c r="G6" s="799"/>
      <c r="H6" s="799"/>
      <c r="I6" s="135"/>
      <c r="J6" s="135"/>
    </row>
    <row r="7" spans="1:11" ht="8.25" customHeight="1" x14ac:dyDescent="0.25">
      <c r="B7" s="124"/>
      <c r="C7" s="136"/>
      <c r="D7" s="136"/>
      <c r="E7" s="136"/>
      <c r="F7" s="137"/>
      <c r="G7" s="137"/>
      <c r="H7" s="137"/>
      <c r="I7" s="137"/>
      <c r="J7" s="130"/>
    </row>
    <row r="8" spans="1:11" ht="18" customHeight="1" x14ac:dyDescent="0.25">
      <c r="B8" s="124"/>
      <c r="C8" s="131" t="s">
        <v>480</v>
      </c>
      <c r="D8" s="800">
        <v>44225</v>
      </c>
      <c r="E8" s="799"/>
      <c r="F8" s="799"/>
      <c r="G8" s="799"/>
      <c r="H8" s="799"/>
      <c r="I8" s="135"/>
      <c r="J8" s="135"/>
    </row>
    <row r="9" spans="1:11" ht="8.25" customHeight="1" thickBot="1" x14ac:dyDescent="0.3">
      <c r="B9" s="124"/>
      <c r="C9" s="138"/>
      <c r="D9" s="138"/>
      <c r="E9" s="138"/>
      <c r="F9" s="139"/>
      <c r="G9" s="139"/>
      <c r="H9" s="139"/>
      <c r="I9" s="139"/>
      <c r="J9" s="140"/>
    </row>
    <row r="10" spans="1:11" ht="18" customHeight="1" x14ac:dyDescent="0.25">
      <c r="B10" s="795" t="s">
        <v>357</v>
      </c>
      <c r="C10" s="818"/>
      <c r="D10" s="818"/>
      <c r="E10" s="818"/>
      <c r="F10" s="818"/>
      <c r="G10" s="818"/>
      <c r="H10" s="818"/>
      <c r="I10" s="818"/>
      <c r="J10" s="796"/>
    </row>
    <row r="11" spans="1:11" ht="18" customHeight="1" x14ac:dyDescent="0.25">
      <c r="B11" s="815" t="s">
        <v>358</v>
      </c>
      <c r="C11" s="805" t="s">
        <v>360</v>
      </c>
      <c r="D11" s="805" t="s">
        <v>361</v>
      </c>
      <c r="E11" s="805" t="s">
        <v>362</v>
      </c>
      <c r="F11" s="805" t="s">
        <v>363</v>
      </c>
      <c r="G11" s="805" t="s">
        <v>364</v>
      </c>
      <c r="H11" s="805"/>
      <c r="I11" s="251" t="s">
        <v>365</v>
      </c>
      <c r="J11" s="806" t="s">
        <v>29</v>
      </c>
    </row>
    <row r="12" spans="1:11" s="142" customFormat="1" ht="18" customHeight="1" thickBot="1" x14ac:dyDescent="0.3">
      <c r="A12" s="141"/>
      <c r="B12" s="816"/>
      <c r="C12" s="817"/>
      <c r="D12" s="817"/>
      <c r="E12" s="817"/>
      <c r="F12" s="817"/>
      <c r="G12" s="248" t="s">
        <v>366</v>
      </c>
      <c r="H12" s="248" t="s">
        <v>367</v>
      </c>
      <c r="I12" s="258">
        <f>SUM(I13:I15)</f>
        <v>1</v>
      </c>
      <c r="J12" s="807"/>
      <c r="K12" s="141"/>
    </row>
    <row r="13" spans="1:11" s="142" customFormat="1" ht="61.5" customHeight="1" x14ac:dyDescent="0.25">
      <c r="A13" s="141"/>
      <c r="B13" s="143">
        <v>1</v>
      </c>
      <c r="C13" s="177" t="s">
        <v>512</v>
      </c>
      <c r="D13" s="177" t="s">
        <v>482</v>
      </c>
      <c r="E13" s="144" t="s">
        <v>513</v>
      </c>
      <c r="F13" s="145">
        <v>0.5</v>
      </c>
      <c r="G13" s="146">
        <v>44228</v>
      </c>
      <c r="H13" s="146">
        <v>44530</v>
      </c>
      <c r="I13" s="145">
        <v>0.4</v>
      </c>
      <c r="J13" s="178" t="s">
        <v>514</v>
      </c>
      <c r="K13" s="141"/>
    </row>
    <row r="14" spans="1:11" s="142" customFormat="1" ht="74.25" customHeight="1" x14ac:dyDescent="0.25">
      <c r="A14" s="141"/>
      <c r="B14" s="148">
        <v>2</v>
      </c>
      <c r="C14" s="179" t="s">
        <v>515</v>
      </c>
      <c r="D14" s="179" t="s">
        <v>482</v>
      </c>
      <c r="E14" s="150" t="s">
        <v>516</v>
      </c>
      <c r="F14" s="151">
        <v>0.25</v>
      </c>
      <c r="G14" s="152">
        <v>44228</v>
      </c>
      <c r="H14" s="152">
        <v>44530</v>
      </c>
      <c r="I14" s="151">
        <v>0.3</v>
      </c>
      <c r="J14" s="181" t="s">
        <v>514</v>
      </c>
      <c r="K14" s="141"/>
    </row>
    <row r="15" spans="1:11" s="142" customFormat="1" ht="49.5" customHeight="1" thickBot="1" x14ac:dyDescent="0.3">
      <c r="A15" s="141"/>
      <c r="B15" s="154">
        <v>3</v>
      </c>
      <c r="C15" s="155" t="s">
        <v>517</v>
      </c>
      <c r="D15" s="155" t="s">
        <v>482</v>
      </c>
      <c r="E15" s="157" t="s">
        <v>518</v>
      </c>
      <c r="F15" s="159">
        <v>0.25</v>
      </c>
      <c r="G15" s="158">
        <v>44228</v>
      </c>
      <c r="H15" s="158">
        <v>44530</v>
      </c>
      <c r="I15" s="159">
        <v>0.3</v>
      </c>
      <c r="J15" s="160" t="s">
        <v>514</v>
      </c>
      <c r="K15" s="141"/>
    </row>
    <row r="16" spans="1:11" s="142" customFormat="1" ht="33" customHeight="1" thickBot="1" x14ac:dyDescent="0.3">
      <c r="A16" s="141"/>
      <c r="B16" s="808" t="s">
        <v>486</v>
      </c>
      <c r="C16" s="808"/>
      <c r="D16" s="808"/>
      <c r="E16" s="808"/>
      <c r="F16" s="808"/>
      <c r="G16" s="808"/>
      <c r="H16" s="808"/>
      <c r="I16" s="808"/>
      <c r="J16" s="808"/>
      <c r="K16" s="141"/>
    </row>
    <row r="17" spans="1:11" s="142" customFormat="1" ht="21.75" customHeight="1" x14ac:dyDescent="0.25">
      <c r="A17" s="141"/>
      <c r="B17" s="161"/>
      <c r="C17" s="809" t="s">
        <v>487</v>
      </c>
      <c r="D17" s="810"/>
      <c r="E17" s="810"/>
      <c r="F17" s="811"/>
      <c r="G17" s="162"/>
      <c r="H17" s="162"/>
      <c r="I17" s="162"/>
      <c r="J17" s="163"/>
      <c r="K17" s="141"/>
    </row>
    <row r="18" spans="1:11" s="142" customFormat="1" ht="21.75" customHeight="1" x14ac:dyDescent="0.25">
      <c r="A18" s="141"/>
      <c r="B18" s="161"/>
      <c r="C18" s="249" t="s">
        <v>355</v>
      </c>
      <c r="D18" s="812" t="s">
        <v>488</v>
      </c>
      <c r="E18" s="812"/>
      <c r="F18" s="250" t="s">
        <v>489</v>
      </c>
      <c r="G18" s="162"/>
      <c r="H18" s="162"/>
      <c r="I18" s="162"/>
      <c r="J18" s="163"/>
      <c r="K18" s="141"/>
    </row>
    <row r="19" spans="1:11" s="142" customFormat="1" ht="28.5" customHeight="1" x14ac:dyDescent="0.2">
      <c r="A19" s="141"/>
      <c r="B19" s="161"/>
      <c r="C19" s="164">
        <v>1</v>
      </c>
      <c r="D19" s="813" t="s">
        <v>490</v>
      </c>
      <c r="E19" s="814"/>
      <c r="F19" s="165">
        <v>44225</v>
      </c>
      <c r="G19" s="162"/>
      <c r="H19" s="162"/>
      <c r="I19" s="162"/>
      <c r="J19" s="163"/>
      <c r="K19" s="141"/>
    </row>
    <row r="20" spans="1:11" s="142" customFormat="1" ht="28.5" customHeight="1" thickBot="1" x14ac:dyDescent="0.3">
      <c r="A20" s="141"/>
      <c r="B20" s="161"/>
      <c r="C20" s="166"/>
      <c r="D20" s="804"/>
      <c r="E20" s="804"/>
      <c r="F20" s="167"/>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hidden="1" customHeight="1" x14ac:dyDescent="0.25">
      <c r="A22" s="141"/>
      <c r="B22" s="161"/>
      <c r="C22" s="168"/>
      <c r="D22" s="168"/>
      <c r="E22" s="161"/>
      <c r="F22" s="161"/>
      <c r="G22" s="162"/>
      <c r="H22" s="162"/>
      <c r="I22" s="162"/>
      <c r="J22" s="163"/>
      <c r="K22" s="141"/>
    </row>
    <row r="23" spans="1:11" s="142" customFormat="1" ht="33" hidden="1" customHeight="1" x14ac:dyDescent="0.25">
      <c r="A23" s="141"/>
      <c r="B23" s="161"/>
      <c r="C23" s="168"/>
      <c r="D23" s="168"/>
      <c r="E23" s="161"/>
      <c r="F23" s="161"/>
      <c r="G23" s="162"/>
      <c r="H23" s="162"/>
      <c r="I23" s="162"/>
      <c r="J23" s="163"/>
      <c r="K23" s="141"/>
    </row>
    <row r="24" spans="1:11" s="142" customFormat="1" ht="33" hidden="1" customHeight="1" x14ac:dyDescent="0.25">
      <c r="A24" s="141"/>
      <c r="B24" s="161"/>
      <c r="C24" s="168"/>
      <c r="D24" s="168"/>
      <c r="E24" s="161"/>
      <c r="F24" s="161"/>
      <c r="G24" s="162"/>
      <c r="H24" s="162"/>
      <c r="I24" s="162"/>
      <c r="J24" s="163"/>
      <c r="K24" s="141"/>
    </row>
    <row r="25" spans="1:11" s="142" customFormat="1" ht="6.75" hidden="1" customHeight="1" x14ac:dyDescent="0.25">
      <c r="A25" s="141"/>
      <c r="B25" s="169"/>
      <c r="C25" s="163"/>
      <c r="D25" s="163"/>
      <c r="E25" s="161"/>
      <c r="F25" s="161"/>
      <c r="G25" s="169"/>
      <c r="H25" s="169"/>
      <c r="I25" s="169"/>
      <c r="J25" s="163"/>
      <c r="K25" s="141"/>
    </row>
    <row r="26" spans="1:11" ht="42.75" hidden="1" customHeight="1" x14ac:dyDescent="0.25">
      <c r="B26" s="170"/>
      <c r="C26" s="171"/>
      <c r="D26" s="171"/>
      <c r="E26" s="172"/>
      <c r="F26" s="173"/>
      <c r="G26" s="142"/>
      <c r="H26" s="142"/>
      <c r="I26" s="142"/>
    </row>
    <row r="27" spans="1:11" ht="16.5" hidden="1" customHeight="1" x14ac:dyDescent="0.25">
      <c r="C27" s="123"/>
      <c r="D27" s="123"/>
      <c r="E27" s="123"/>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23"/>
      <c r="B57" s="123"/>
      <c r="C57" s="123"/>
      <c r="D57" s="123"/>
      <c r="E57" s="123"/>
      <c r="J57" s="123"/>
      <c r="K57" s="123"/>
    </row>
    <row r="58" spans="1:11" ht="0" hidden="1" customHeight="1" x14ac:dyDescent="0.25">
      <c r="A58" s="123"/>
      <c r="B58" s="123"/>
      <c r="C58" s="123"/>
      <c r="D58" s="123"/>
      <c r="E58" s="123"/>
      <c r="J58" s="123"/>
      <c r="K58" s="123"/>
    </row>
    <row r="59" spans="1:11" ht="0" hidden="1" customHeight="1" x14ac:dyDescent="0.25">
      <c r="A59" s="123"/>
      <c r="B59" s="123"/>
      <c r="C59" s="123"/>
      <c r="D59" s="123"/>
      <c r="E59" s="123"/>
      <c r="J59" s="123"/>
      <c r="K59" s="123"/>
    </row>
    <row r="60" spans="1:11" ht="0" hidden="1" customHeight="1" x14ac:dyDescent="0.25">
      <c r="A60" s="123"/>
      <c r="B60" s="123"/>
      <c r="C60" s="123"/>
      <c r="D60" s="123"/>
      <c r="E60" s="123"/>
      <c r="J60" s="123"/>
      <c r="K60" s="123"/>
    </row>
    <row r="61" spans="1:11" ht="0" hidden="1" customHeight="1" x14ac:dyDescent="0.25">
      <c r="A61" s="123"/>
      <c r="B61" s="123"/>
      <c r="C61" s="123"/>
      <c r="D61" s="123"/>
      <c r="E61" s="123"/>
      <c r="J61" s="123"/>
      <c r="K61" s="123"/>
    </row>
    <row r="62" spans="1:11" ht="0" hidden="1" customHeight="1" x14ac:dyDescent="0.25">
      <c r="A62" s="123"/>
      <c r="B62" s="123"/>
      <c r="C62" s="123"/>
      <c r="D62" s="123"/>
      <c r="E62" s="123"/>
      <c r="J62" s="123"/>
      <c r="K62" s="123"/>
    </row>
    <row r="63" spans="1:11" ht="0" hidden="1" customHeight="1" x14ac:dyDescent="0.25">
      <c r="A63" s="123"/>
      <c r="B63" s="123"/>
      <c r="C63" s="123"/>
      <c r="D63" s="123"/>
      <c r="E63" s="123"/>
      <c r="J63" s="123"/>
      <c r="K63" s="123"/>
    </row>
    <row r="64" spans="1:11" ht="0" hidden="1" customHeight="1" x14ac:dyDescent="0.25">
      <c r="A64" s="123"/>
      <c r="B64" s="123"/>
      <c r="C64" s="123"/>
      <c r="D64" s="123"/>
      <c r="E64" s="123"/>
      <c r="J64" s="123"/>
      <c r="K64" s="123"/>
    </row>
    <row r="65" spans="1:11" ht="0" hidden="1" customHeight="1" x14ac:dyDescent="0.25">
      <c r="A65" s="123"/>
      <c r="B65" s="123"/>
      <c r="C65" s="123"/>
      <c r="D65" s="123"/>
      <c r="E65" s="123"/>
      <c r="J65" s="123"/>
      <c r="K65" s="123"/>
    </row>
    <row r="66" spans="1:11" ht="0" hidden="1" customHeight="1" x14ac:dyDescent="0.25">
      <c r="A66" s="123"/>
      <c r="B66" s="123"/>
      <c r="C66" s="123"/>
      <c r="D66" s="123"/>
      <c r="E66" s="123"/>
      <c r="J66" s="123"/>
      <c r="K66" s="123"/>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76"/>
  <sheetViews>
    <sheetView zoomScale="80" zoomScaleNormal="80" workbookViewId="0"/>
  </sheetViews>
  <sheetFormatPr baseColWidth="10" defaultColWidth="14.42578125" defaultRowHeight="15" customHeight="1" x14ac:dyDescent="0.2"/>
  <cols>
    <col min="1" max="1" width="2.42578125" style="186" customWidth="1"/>
    <col min="2" max="2" width="4.42578125" style="186" customWidth="1"/>
    <col min="3" max="3" width="30" style="186" customWidth="1"/>
    <col min="4" max="4" width="21.85546875" style="186" customWidth="1"/>
    <col min="5" max="5" width="30" style="186" customWidth="1"/>
    <col min="6" max="6" width="23.42578125" style="186" customWidth="1"/>
    <col min="7" max="8" width="13.42578125" style="186" customWidth="1"/>
    <col min="9" max="9" width="14.5703125" style="186" customWidth="1"/>
    <col min="10" max="10" width="58.42578125" style="186" customWidth="1"/>
    <col min="11" max="11" width="4.28515625" style="186" customWidth="1"/>
    <col min="12" max="25" width="10.7109375" style="186" customWidth="1"/>
    <col min="26" max="16384" width="14.42578125" style="186"/>
  </cols>
  <sheetData>
    <row r="1" spans="1:25" ht="18.75" customHeight="1" x14ac:dyDescent="0.2">
      <c r="A1" s="182"/>
      <c r="B1" s="183"/>
      <c r="C1" s="183"/>
      <c r="D1" s="184"/>
      <c r="E1" s="184"/>
      <c r="F1" s="184"/>
      <c r="G1" s="184"/>
      <c r="H1" s="184"/>
      <c r="I1" s="184"/>
      <c r="J1" s="185"/>
      <c r="K1" s="182"/>
      <c r="L1" s="123"/>
      <c r="M1" s="123"/>
      <c r="N1" s="123"/>
      <c r="O1" s="123"/>
      <c r="P1" s="123"/>
      <c r="Q1" s="123"/>
      <c r="R1" s="123"/>
      <c r="S1" s="123"/>
      <c r="T1" s="123"/>
      <c r="U1" s="123"/>
      <c r="V1" s="123"/>
      <c r="W1" s="123"/>
      <c r="X1" s="123"/>
      <c r="Y1" s="123"/>
    </row>
    <row r="2" spans="1:25" ht="18.75" customHeight="1" x14ac:dyDescent="0.2">
      <c r="A2" s="182"/>
      <c r="B2" s="187"/>
      <c r="C2" s="839" t="s">
        <v>531</v>
      </c>
      <c r="D2" s="840"/>
      <c r="E2" s="840"/>
      <c r="F2" s="840"/>
      <c r="G2" s="840"/>
      <c r="H2" s="840"/>
      <c r="I2" s="840"/>
      <c r="J2" s="840"/>
      <c r="K2" s="182"/>
      <c r="L2" s="123"/>
      <c r="M2" s="123"/>
      <c r="N2" s="123"/>
      <c r="O2" s="123"/>
      <c r="P2" s="123"/>
      <c r="Q2" s="123"/>
      <c r="R2" s="123"/>
      <c r="S2" s="123"/>
      <c r="T2" s="123"/>
      <c r="U2" s="123"/>
      <c r="V2" s="123"/>
      <c r="W2" s="123"/>
      <c r="X2" s="123"/>
      <c r="Y2" s="123"/>
    </row>
    <row r="3" spans="1:25" ht="18.75" customHeight="1" x14ac:dyDescent="0.2">
      <c r="A3" s="182"/>
      <c r="B3" s="187"/>
      <c r="C3" s="182"/>
      <c r="D3" s="229"/>
      <c r="E3" s="182"/>
      <c r="F3" s="230"/>
      <c r="G3" s="231"/>
      <c r="H3" s="232"/>
      <c r="I3" s="232"/>
      <c r="J3" s="202"/>
      <c r="K3" s="182"/>
      <c r="L3" s="123"/>
      <c r="M3" s="123"/>
      <c r="N3" s="123"/>
      <c r="O3" s="123"/>
      <c r="P3" s="123"/>
      <c r="Q3" s="123"/>
      <c r="R3" s="123"/>
      <c r="S3" s="123"/>
      <c r="T3" s="123"/>
      <c r="U3" s="123"/>
      <c r="V3" s="123"/>
      <c r="W3" s="123"/>
      <c r="X3" s="123"/>
      <c r="Y3" s="123"/>
    </row>
    <row r="4" spans="1:25" ht="37.5" customHeight="1" x14ac:dyDescent="0.2">
      <c r="A4" s="182"/>
      <c r="B4" s="187"/>
      <c r="C4" s="189" t="s">
        <v>477</v>
      </c>
      <c r="D4" s="821" t="s">
        <v>532</v>
      </c>
      <c r="E4" s="820"/>
      <c r="F4" s="820"/>
      <c r="G4" s="820"/>
      <c r="H4" s="820"/>
      <c r="I4" s="820"/>
      <c r="J4" s="820"/>
      <c r="K4" s="182"/>
      <c r="L4" s="123"/>
      <c r="M4" s="123"/>
      <c r="N4" s="123"/>
      <c r="O4" s="123"/>
      <c r="P4" s="123"/>
      <c r="Q4" s="123"/>
      <c r="R4" s="123"/>
      <c r="S4" s="123"/>
      <c r="T4" s="123"/>
      <c r="U4" s="123"/>
      <c r="V4" s="123"/>
      <c r="W4" s="123"/>
      <c r="X4" s="123"/>
      <c r="Y4" s="123"/>
    </row>
    <row r="5" spans="1:25" ht="8.25" customHeight="1" x14ac:dyDescent="0.2">
      <c r="A5" s="182"/>
      <c r="B5" s="187"/>
      <c r="C5" s="194"/>
      <c r="D5" s="195"/>
      <c r="E5" s="188"/>
      <c r="F5" s="196"/>
      <c r="G5" s="196"/>
      <c r="H5" s="196"/>
      <c r="I5" s="196"/>
      <c r="J5" s="193"/>
      <c r="K5" s="182"/>
      <c r="L5" s="123"/>
      <c r="M5" s="123"/>
      <c r="N5" s="123"/>
      <c r="O5" s="123"/>
      <c r="P5" s="123"/>
      <c r="Q5" s="123"/>
      <c r="R5" s="123"/>
      <c r="S5" s="123"/>
      <c r="T5" s="123"/>
      <c r="U5" s="123"/>
      <c r="V5" s="123"/>
      <c r="W5" s="123"/>
      <c r="X5" s="123"/>
      <c r="Y5" s="123"/>
    </row>
    <row r="6" spans="1:25" ht="18" customHeight="1" x14ac:dyDescent="0.2">
      <c r="A6" s="182"/>
      <c r="B6" s="187"/>
      <c r="C6" s="189" t="s">
        <v>479</v>
      </c>
      <c r="D6" s="821">
        <v>1</v>
      </c>
      <c r="E6" s="820"/>
      <c r="F6" s="820"/>
      <c r="G6" s="820"/>
      <c r="H6" s="820"/>
      <c r="I6" s="197"/>
      <c r="J6" s="197"/>
      <c r="K6" s="182"/>
      <c r="L6" s="123"/>
      <c r="M6" s="123"/>
      <c r="N6" s="123"/>
      <c r="O6" s="123"/>
      <c r="P6" s="123"/>
      <c r="Q6" s="123"/>
      <c r="R6" s="123"/>
      <c r="S6" s="123"/>
      <c r="T6" s="123"/>
      <c r="U6" s="123"/>
      <c r="V6" s="123"/>
      <c r="W6" s="123"/>
      <c r="X6" s="123"/>
      <c r="Y6" s="123"/>
    </row>
    <row r="7" spans="1:25" ht="8.25" customHeight="1" x14ac:dyDescent="0.2">
      <c r="A7" s="182"/>
      <c r="B7" s="187"/>
      <c r="C7" s="198"/>
      <c r="D7" s="198"/>
      <c r="E7" s="198"/>
      <c r="F7" s="199"/>
      <c r="G7" s="199"/>
      <c r="H7" s="199"/>
      <c r="I7" s="199"/>
      <c r="J7" s="193"/>
      <c r="K7" s="182"/>
      <c r="L7" s="123"/>
      <c r="M7" s="123"/>
      <c r="N7" s="123"/>
      <c r="O7" s="123"/>
      <c r="P7" s="123"/>
      <c r="Q7" s="123"/>
      <c r="R7" s="123"/>
      <c r="S7" s="123"/>
      <c r="T7" s="123"/>
      <c r="U7" s="123"/>
      <c r="V7" s="123"/>
      <c r="W7" s="123"/>
      <c r="X7" s="123"/>
      <c r="Y7" s="123"/>
    </row>
    <row r="8" spans="1:25" ht="18" customHeight="1" x14ac:dyDescent="0.2">
      <c r="A8" s="182"/>
      <c r="B8" s="187"/>
      <c r="C8" s="189" t="s">
        <v>480</v>
      </c>
      <c r="D8" s="841">
        <v>44225</v>
      </c>
      <c r="E8" s="842"/>
      <c r="F8" s="842"/>
      <c r="G8" s="842"/>
      <c r="H8" s="842"/>
      <c r="I8" s="197"/>
      <c r="J8" s="197"/>
      <c r="K8" s="182"/>
      <c r="L8" s="123"/>
      <c r="M8" s="123"/>
      <c r="N8" s="123"/>
      <c r="O8" s="123"/>
      <c r="P8" s="123"/>
      <c r="Q8" s="123"/>
      <c r="R8" s="123"/>
      <c r="S8" s="123"/>
      <c r="T8" s="123"/>
      <c r="U8" s="123"/>
      <c r="V8" s="123"/>
      <c r="W8" s="123"/>
      <c r="X8" s="123"/>
      <c r="Y8" s="123"/>
    </row>
    <row r="9" spans="1:25" ht="8.25" customHeight="1" thickBot="1" x14ac:dyDescent="0.25">
      <c r="A9" s="182"/>
      <c r="B9" s="187"/>
      <c r="C9" s="200"/>
      <c r="D9" s="200"/>
      <c r="E9" s="200"/>
      <c r="F9" s="201"/>
      <c r="G9" s="201"/>
      <c r="H9" s="201"/>
      <c r="I9" s="201"/>
      <c r="J9" s="202"/>
      <c r="K9" s="182"/>
      <c r="L9" s="123"/>
      <c r="M9" s="123"/>
      <c r="N9" s="123"/>
      <c r="O9" s="123"/>
      <c r="P9" s="123"/>
      <c r="Q9" s="123"/>
      <c r="R9" s="123"/>
      <c r="S9" s="123"/>
      <c r="T9" s="123"/>
      <c r="U9" s="123"/>
      <c r="V9" s="123"/>
      <c r="W9" s="123"/>
      <c r="X9" s="123"/>
      <c r="Y9" s="123"/>
    </row>
    <row r="10" spans="1:25" ht="18" customHeight="1" x14ac:dyDescent="0.2">
      <c r="A10" s="182"/>
      <c r="B10" s="843" t="s">
        <v>357</v>
      </c>
      <c r="C10" s="844"/>
      <c r="D10" s="844"/>
      <c r="E10" s="844"/>
      <c r="F10" s="844"/>
      <c r="G10" s="844"/>
      <c r="H10" s="844"/>
      <c r="I10" s="844"/>
      <c r="J10" s="845"/>
      <c r="K10" s="182"/>
      <c r="L10" s="123"/>
      <c r="M10" s="123"/>
      <c r="N10" s="123"/>
      <c r="O10" s="123"/>
      <c r="P10" s="123"/>
      <c r="Q10" s="123"/>
      <c r="R10" s="123"/>
      <c r="S10" s="123"/>
      <c r="T10" s="123"/>
      <c r="U10" s="123"/>
      <c r="V10" s="123"/>
      <c r="W10" s="123"/>
      <c r="X10" s="123"/>
      <c r="Y10" s="123"/>
    </row>
    <row r="11" spans="1:25" ht="18" customHeight="1" x14ac:dyDescent="0.2">
      <c r="A11" s="182"/>
      <c r="B11" s="836" t="s">
        <v>358</v>
      </c>
      <c r="C11" s="827" t="s">
        <v>360</v>
      </c>
      <c r="D11" s="827" t="s">
        <v>361</v>
      </c>
      <c r="E11" s="827" t="s">
        <v>362</v>
      </c>
      <c r="F11" s="827" t="s">
        <v>363</v>
      </c>
      <c r="G11" s="827" t="s">
        <v>364</v>
      </c>
      <c r="H11" s="846"/>
      <c r="I11" s="256" t="s">
        <v>365</v>
      </c>
      <c r="J11" s="829" t="s">
        <v>29</v>
      </c>
      <c r="K11" s="182"/>
      <c r="L11" s="123"/>
      <c r="M11" s="123"/>
      <c r="N11" s="123"/>
      <c r="O11" s="123"/>
      <c r="P11" s="123"/>
      <c r="Q11" s="123"/>
      <c r="R11" s="123"/>
      <c r="S11" s="123"/>
      <c r="T11" s="123"/>
      <c r="U11" s="123"/>
      <c r="V11" s="123"/>
      <c r="W11" s="123"/>
      <c r="X11" s="123"/>
      <c r="Y11" s="123"/>
    </row>
    <row r="12" spans="1:25" ht="18" customHeight="1" thickBot="1" x14ac:dyDescent="0.25">
      <c r="A12" s="203"/>
      <c r="B12" s="848"/>
      <c r="C12" s="849"/>
      <c r="D12" s="849"/>
      <c r="E12" s="849"/>
      <c r="F12" s="849"/>
      <c r="G12" s="253" t="s">
        <v>366</v>
      </c>
      <c r="H12" s="253" t="s">
        <v>367</v>
      </c>
      <c r="I12" s="257">
        <f>SUM(I13:I16)</f>
        <v>1</v>
      </c>
      <c r="J12" s="847"/>
      <c r="K12" s="203"/>
      <c r="L12" s="226"/>
      <c r="M12" s="226"/>
      <c r="N12" s="226"/>
      <c r="O12" s="226"/>
      <c r="P12" s="226"/>
      <c r="Q12" s="226"/>
      <c r="R12" s="226"/>
      <c r="S12" s="226"/>
      <c r="T12" s="226"/>
      <c r="U12" s="226"/>
      <c r="V12" s="226"/>
      <c r="W12" s="226"/>
      <c r="X12" s="226"/>
      <c r="Y12" s="226"/>
    </row>
    <row r="13" spans="1:25" ht="43.5" customHeight="1" x14ac:dyDescent="0.2">
      <c r="A13" s="203"/>
      <c r="B13" s="204">
        <v>1</v>
      </c>
      <c r="C13" s="233" t="s">
        <v>533</v>
      </c>
      <c r="D13" s="234" t="s">
        <v>534</v>
      </c>
      <c r="E13" s="235" t="s">
        <v>552</v>
      </c>
      <c r="F13" s="236">
        <v>0.8</v>
      </c>
      <c r="G13" s="237">
        <v>44228</v>
      </c>
      <c r="H13" s="237">
        <v>44560</v>
      </c>
      <c r="I13" s="236">
        <v>0.4</v>
      </c>
      <c r="J13" s="238" t="s">
        <v>535</v>
      </c>
      <c r="K13" s="203"/>
      <c r="L13" s="226"/>
      <c r="M13" s="226"/>
      <c r="N13" s="226"/>
      <c r="O13" s="226"/>
      <c r="P13" s="226"/>
      <c r="Q13" s="226"/>
      <c r="R13" s="226"/>
      <c r="S13" s="226"/>
      <c r="T13" s="226"/>
      <c r="U13" s="226"/>
      <c r="V13" s="226"/>
      <c r="W13" s="226"/>
      <c r="X13" s="226"/>
      <c r="Y13" s="226"/>
    </row>
    <row r="14" spans="1:25" ht="43.5" customHeight="1" x14ac:dyDescent="0.2">
      <c r="A14" s="203"/>
      <c r="B14" s="209">
        <v>2</v>
      </c>
      <c r="C14" s="239" t="s">
        <v>536</v>
      </c>
      <c r="D14" s="240" t="s">
        <v>534</v>
      </c>
      <c r="E14" s="75" t="s">
        <v>537</v>
      </c>
      <c r="F14" s="72">
        <v>0.5</v>
      </c>
      <c r="G14" s="241">
        <v>44228</v>
      </c>
      <c r="H14" s="241">
        <v>44560</v>
      </c>
      <c r="I14" s="72">
        <v>0.3</v>
      </c>
      <c r="J14" s="242" t="s">
        <v>535</v>
      </c>
      <c r="K14" s="203"/>
      <c r="L14" s="226"/>
      <c r="M14" s="226"/>
      <c r="N14" s="226"/>
      <c r="O14" s="226"/>
      <c r="P14" s="226"/>
      <c r="Q14" s="226"/>
      <c r="R14" s="226"/>
      <c r="S14" s="226"/>
      <c r="T14" s="226"/>
      <c r="U14" s="226"/>
      <c r="V14" s="226"/>
      <c r="W14" s="226"/>
      <c r="X14" s="226"/>
      <c r="Y14" s="226"/>
    </row>
    <row r="15" spans="1:25" ht="43.5" customHeight="1" x14ac:dyDescent="0.2">
      <c r="A15" s="203"/>
      <c r="B15" s="209">
        <v>3</v>
      </c>
      <c r="C15" s="239" t="s">
        <v>538</v>
      </c>
      <c r="D15" s="240" t="s">
        <v>534</v>
      </c>
      <c r="E15" s="75" t="s">
        <v>553</v>
      </c>
      <c r="F15" s="64">
        <v>0.5</v>
      </c>
      <c r="G15" s="241">
        <v>44228</v>
      </c>
      <c r="H15" s="241">
        <v>44560</v>
      </c>
      <c r="I15" s="64">
        <v>0.3</v>
      </c>
      <c r="J15" s="242" t="s">
        <v>535</v>
      </c>
      <c r="K15" s="203"/>
      <c r="L15" s="226"/>
      <c r="M15" s="226"/>
      <c r="N15" s="226"/>
      <c r="O15" s="226"/>
      <c r="P15" s="226"/>
      <c r="Q15" s="226"/>
      <c r="R15" s="226"/>
      <c r="S15" s="226"/>
      <c r="T15" s="226"/>
      <c r="U15" s="226"/>
      <c r="V15" s="226"/>
      <c r="W15" s="226"/>
      <c r="X15" s="226"/>
      <c r="Y15" s="226"/>
    </row>
    <row r="16" spans="1:25" ht="22.5" customHeight="1" thickBot="1" x14ac:dyDescent="0.25">
      <c r="A16" s="203"/>
      <c r="B16" s="214"/>
      <c r="C16" s="243"/>
      <c r="D16" s="243"/>
      <c r="E16" s="215"/>
      <c r="F16" s="215"/>
      <c r="G16" s="216"/>
      <c r="H16" s="216"/>
      <c r="I16" s="216"/>
      <c r="J16" s="217"/>
      <c r="K16" s="203"/>
      <c r="L16" s="226"/>
      <c r="M16" s="226"/>
      <c r="N16" s="226"/>
      <c r="O16" s="226"/>
      <c r="P16" s="226"/>
      <c r="Q16" s="226"/>
      <c r="R16" s="226"/>
      <c r="S16" s="226"/>
      <c r="T16" s="226"/>
      <c r="U16" s="226"/>
      <c r="V16" s="226"/>
      <c r="W16" s="226"/>
      <c r="X16" s="226"/>
      <c r="Y16" s="226"/>
    </row>
    <row r="17" spans="1:25" ht="33" customHeight="1" thickBot="1" x14ac:dyDescent="0.25">
      <c r="A17" s="203"/>
      <c r="B17" s="808" t="s">
        <v>486</v>
      </c>
      <c r="C17" s="808"/>
      <c r="D17" s="808"/>
      <c r="E17" s="808"/>
      <c r="F17" s="808"/>
      <c r="G17" s="808"/>
      <c r="H17" s="808"/>
      <c r="I17" s="808"/>
      <c r="J17" s="808"/>
      <c r="K17" s="203"/>
      <c r="L17" s="226"/>
      <c r="M17" s="226"/>
      <c r="N17" s="226"/>
      <c r="O17" s="226"/>
      <c r="P17" s="226"/>
      <c r="Q17" s="226"/>
      <c r="R17" s="226"/>
      <c r="S17" s="226"/>
      <c r="T17" s="226"/>
      <c r="U17" s="226"/>
      <c r="V17" s="226"/>
      <c r="W17" s="226"/>
      <c r="X17" s="226"/>
      <c r="Y17" s="226"/>
    </row>
    <row r="18" spans="1:25" ht="21.75" customHeight="1" x14ac:dyDescent="0.2">
      <c r="A18" s="203"/>
      <c r="B18" s="218"/>
      <c r="C18" s="831" t="s">
        <v>487</v>
      </c>
      <c r="D18" s="832"/>
      <c r="E18" s="832"/>
      <c r="F18" s="833"/>
      <c r="G18" s="219"/>
      <c r="H18" s="219"/>
      <c r="I18" s="219"/>
      <c r="J18" s="220"/>
      <c r="K18" s="203"/>
      <c r="L18" s="226"/>
      <c r="M18" s="226"/>
      <c r="N18" s="226"/>
      <c r="O18" s="226"/>
      <c r="P18" s="226"/>
      <c r="Q18" s="226"/>
      <c r="R18" s="226"/>
      <c r="S18" s="226"/>
      <c r="T18" s="226"/>
      <c r="U18" s="226"/>
      <c r="V18" s="226"/>
      <c r="W18" s="226"/>
      <c r="X18" s="226"/>
      <c r="Y18" s="226"/>
    </row>
    <row r="19" spans="1:25" ht="21.75" customHeight="1" x14ac:dyDescent="0.2">
      <c r="A19" s="203"/>
      <c r="B19" s="218"/>
      <c r="C19" s="254" t="s">
        <v>355</v>
      </c>
      <c r="D19" s="834" t="s">
        <v>488</v>
      </c>
      <c r="E19" s="835"/>
      <c r="F19" s="255" t="s">
        <v>489</v>
      </c>
      <c r="G19" s="219"/>
      <c r="H19" s="219"/>
      <c r="I19" s="219"/>
      <c r="J19" s="220"/>
      <c r="K19" s="203"/>
      <c r="L19" s="226"/>
      <c r="M19" s="226"/>
      <c r="N19" s="226"/>
      <c r="O19" s="226"/>
      <c r="P19" s="226"/>
      <c r="Q19" s="226"/>
      <c r="R19" s="226"/>
      <c r="S19" s="226"/>
      <c r="T19" s="226"/>
      <c r="U19" s="226"/>
      <c r="V19" s="226"/>
      <c r="W19" s="226"/>
      <c r="X19" s="226"/>
      <c r="Y19" s="226"/>
    </row>
    <row r="20" spans="1:25" ht="28.5" customHeight="1" x14ac:dyDescent="0.2">
      <c r="A20" s="203"/>
      <c r="B20" s="218"/>
      <c r="C20" s="164">
        <v>1</v>
      </c>
      <c r="D20" s="813" t="s">
        <v>490</v>
      </c>
      <c r="E20" s="814"/>
      <c r="F20" s="165">
        <v>44225</v>
      </c>
      <c r="G20" s="219"/>
      <c r="H20" s="219"/>
      <c r="I20" s="219"/>
      <c r="J20" s="220"/>
      <c r="K20" s="203"/>
      <c r="L20" s="226"/>
      <c r="M20" s="226"/>
      <c r="N20" s="226"/>
      <c r="O20" s="226"/>
      <c r="P20" s="226"/>
      <c r="Q20" s="226"/>
      <c r="R20" s="226"/>
      <c r="S20" s="226"/>
      <c r="T20" s="226"/>
      <c r="U20" s="226"/>
      <c r="V20" s="226"/>
      <c r="W20" s="226"/>
      <c r="X20" s="226"/>
      <c r="Y20" s="226"/>
    </row>
    <row r="21" spans="1:25" ht="28.5" customHeight="1" thickBot="1" x14ac:dyDescent="0.25">
      <c r="A21" s="203"/>
      <c r="B21" s="218"/>
      <c r="C21" s="221"/>
      <c r="D21" s="825"/>
      <c r="E21" s="826"/>
      <c r="F21" s="222"/>
      <c r="G21" s="219"/>
      <c r="H21" s="219"/>
      <c r="I21" s="219"/>
      <c r="J21" s="220"/>
      <c r="K21" s="203"/>
      <c r="L21" s="226"/>
      <c r="M21" s="226"/>
      <c r="N21" s="226"/>
      <c r="O21" s="226"/>
      <c r="P21" s="226"/>
      <c r="Q21" s="226"/>
      <c r="R21" s="226"/>
      <c r="S21" s="226"/>
      <c r="T21" s="226"/>
      <c r="U21" s="226"/>
      <c r="V21" s="226"/>
      <c r="W21" s="226"/>
      <c r="X21" s="226"/>
      <c r="Y21" s="226"/>
    </row>
    <row r="22" spans="1:25" ht="33" customHeight="1" x14ac:dyDescent="0.2">
      <c r="A22" s="203"/>
      <c r="B22" s="218"/>
      <c r="C22" s="220"/>
      <c r="D22" s="220"/>
      <c r="E22" s="218"/>
      <c r="F22" s="218"/>
      <c r="G22" s="219"/>
      <c r="H22" s="219"/>
      <c r="I22" s="219"/>
      <c r="J22" s="220"/>
      <c r="K22" s="203"/>
      <c r="L22" s="226"/>
      <c r="M22" s="226"/>
      <c r="N22" s="226"/>
      <c r="O22" s="226"/>
      <c r="P22" s="226"/>
      <c r="Q22" s="226"/>
      <c r="R22" s="226"/>
      <c r="S22" s="226"/>
      <c r="T22" s="226"/>
      <c r="U22" s="226"/>
      <c r="V22" s="226"/>
      <c r="W22" s="226"/>
      <c r="X22" s="226"/>
      <c r="Y22" s="226"/>
    </row>
    <row r="23" spans="1:25" ht="33" customHeight="1" x14ac:dyDescent="0.2">
      <c r="A23" s="203"/>
      <c r="B23" s="218"/>
      <c r="C23" s="220"/>
      <c r="D23" s="220"/>
      <c r="E23" s="218"/>
      <c r="F23" s="218"/>
      <c r="G23" s="219"/>
      <c r="H23" s="219"/>
      <c r="I23" s="219"/>
      <c r="J23" s="220"/>
      <c r="K23" s="203"/>
      <c r="L23" s="226"/>
      <c r="M23" s="226"/>
      <c r="N23" s="226"/>
      <c r="O23" s="226"/>
      <c r="P23" s="226"/>
      <c r="Q23" s="226"/>
      <c r="R23" s="226"/>
      <c r="S23" s="226"/>
      <c r="T23" s="226"/>
      <c r="U23" s="226"/>
      <c r="V23" s="226"/>
      <c r="W23" s="226"/>
      <c r="X23" s="226"/>
      <c r="Y23" s="226"/>
    </row>
    <row r="24" spans="1:25" ht="33" customHeight="1" x14ac:dyDescent="0.2">
      <c r="A24" s="203"/>
      <c r="B24" s="218"/>
      <c r="C24" s="220"/>
      <c r="D24" s="220"/>
      <c r="E24" s="218"/>
      <c r="F24" s="218"/>
      <c r="G24" s="219"/>
      <c r="H24" s="219"/>
      <c r="I24" s="219"/>
      <c r="J24" s="220"/>
      <c r="K24" s="203"/>
      <c r="L24" s="226"/>
      <c r="M24" s="226"/>
      <c r="N24" s="226"/>
      <c r="O24" s="226"/>
      <c r="P24" s="226"/>
      <c r="Q24" s="226"/>
      <c r="R24" s="226"/>
      <c r="S24" s="226"/>
      <c r="T24" s="226"/>
      <c r="U24" s="226"/>
      <c r="V24" s="226"/>
      <c r="W24" s="226"/>
      <c r="X24" s="226"/>
      <c r="Y24" s="226"/>
    </row>
    <row r="25" spans="1:25" ht="33" customHeight="1" x14ac:dyDescent="0.2">
      <c r="A25" s="203"/>
      <c r="B25" s="218"/>
      <c r="C25" s="220"/>
      <c r="D25" s="220"/>
      <c r="E25" s="218"/>
      <c r="F25" s="218"/>
      <c r="G25" s="219"/>
      <c r="H25" s="219"/>
      <c r="I25" s="219"/>
      <c r="J25" s="220"/>
      <c r="K25" s="203"/>
      <c r="L25" s="226"/>
      <c r="M25" s="226"/>
      <c r="N25" s="226"/>
      <c r="O25" s="226"/>
      <c r="P25" s="226"/>
      <c r="Q25" s="226"/>
      <c r="R25" s="226"/>
      <c r="S25" s="226"/>
      <c r="T25" s="226"/>
      <c r="U25" s="226"/>
      <c r="V25" s="226"/>
      <c r="W25" s="226"/>
      <c r="X25" s="226"/>
      <c r="Y25" s="226"/>
    </row>
    <row r="26" spans="1:25" ht="6.75" customHeight="1" x14ac:dyDescent="0.2">
      <c r="A26" s="203"/>
      <c r="B26" s="223"/>
      <c r="C26" s="220"/>
      <c r="D26" s="220"/>
      <c r="E26" s="218"/>
      <c r="F26" s="218"/>
      <c r="G26" s="223"/>
      <c r="H26" s="223"/>
      <c r="I26" s="223"/>
      <c r="J26" s="220"/>
      <c r="K26" s="203"/>
      <c r="L26" s="226"/>
      <c r="M26" s="226"/>
      <c r="N26" s="226"/>
      <c r="O26" s="226"/>
      <c r="P26" s="226"/>
      <c r="Q26" s="226"/>
      <c r="R26" s="226"/>
      <c r="S26" s="226"/>
      <c r="T26" s="226"/>
      <c r="U26" s="226"/>
      <c r="V26" s="226"/>
      <c r="W26" s="226"/>
      <c r="X26" s="226"/>
      <c r="Y26" s="226"/>
    </row>
    <row r="27" spans="1:25" ht="42.75" customHeight="1" x14ac:dyDescent="0.2">
      <c r="A27" s="182"/>
      <c r="B27" s="170"/>
      <c r="C27" s="224"/>
      <c r="D27" s="224"/>
      <c r="E27" s="225"/>
      <c r="F27" s="225"/>
      <c r="G27" s="226"/>
      <c r="H27" s="226"/>
      <c r="I27" s="226"/>
      <c r="J27" s="174"/>
      <c r="K27" s="182"/>
      <c r="L27" s="123"/>
      <c r="M27" s="123"/>
      <c r="N27" s="123"/>
      <c r="O27" s="123"/>
      <c r="P27" s="123"/>
      <c r="Q27" s="123"/>
      <c r="R27" s="123"/>
      <c r="S27" s="123"/>
      <c r="T27" s="123"/>
      <c r="U27" s="123"/>
      <c r="V27" s="123"/>
      <c r="W27" s="123"/>
      <c r="X27" s="123"/>
      <c r="Y27" s="123"/>
    </row>
    <row r="28" spans="1:25" ht="16.5" customHeight="1" x14ac:dyDescent="0.2">
      <c r="A28" s="182"/>
      <c r="B28" s="175"/>
      <c r="C28" s="123"/>
      <c r="D28" s="123"/>
      <c r="E28" s="123"/>
      <c r="F28" s="123"/>
      <c r="G28" s="123"/>
      <c r="H28" s="123"/>
      <c r="I28" s="123"/>
      <c r="J28" s="174"/>
      <c r="K28" s="182"/>
      <c r="L28" s="123"/>
      <c r="M28" s="123"/>
      <c r="N28" s="123"/>
      <c r="O28" s="123"/>
      <c r="P28" s="123"/>
      <c r="Q28" s="123"/>
      <c r="R28" s="123"/>
      <c r="S28" s="123"/>
      <c r="T28" s="123"/>
      <c r="U28" s="123"/>
      <c r="V28" s="123"/>
      <c r="W28" s="123"/>
      <c r="X28" s="123"/>
      <c r="Y28" s="123"/>
    </row>
    <row r="29" spans="1:25" ht="16.5" customHeight="1" x14ac:dyDescent="0.2">
      <c r="A29" s="182"/>
      <c r="B29" s="175"/>
      <c r="C29" s="176"/>
      <c r="D29" s="176"/>
      <c r="E29" s="176"/>
      <c r="F29" s="123"/>
      <c r="G29" s="123"/>
      <c r="H29" s="123"/>
      <c r="I29" s="123"/>
      <c r="J29" s="174"/>
      <c r="K29" s="182"/>
      <c r="L29" s="123"/>
      <c r="M29" s="123"/>
      <c r="N29" s="123"/>
      <c r="O29" s="123"/>
      <c r="P29" s="123"/>
      <c r="Q29" s="123"/>
      <c r="R29" s="123"/>
      <c r="S29" s="123"/>
      <c r="T29" s="123"/>
      <c r="U29" s="123"/>
      <c r="V29" s="123"/>
      <c r="W29" s="123"/>
      <c r="X29" s="123"/>
      <c r="Y29" s="123"/>
    </row>
    <row r="30" spans="1:25" ht="16.5" customHeight="1" x14ac:dyDescent="0.2">
      <c r="A30" s="182"/>
      <c r="B30" s="175"/>
      <c r="C30" s="176"/>
      <c r="D30" s="176"/>
      <c r="E30" s="176"/>
      <c r="F30" s="123"/>
      <c r="G30" s="123"/>
      <c r="H30" s="123"/>
      <c r="I30" s="123"/>
      <c r="J30" s="174"/>
      <c r="K30" s="182"/>
      <c r="L30" s="123"/>
      <c r="M30" s="123"/>
      <c r="N30" s="123"/>
      <c r="O30" s="123"/>
      <c r="P30" s="123"/>
      <c r="Q30" s="123"/>
      <c r="R30" s="123"/>
      <c r="S30" s="123"/>
      <c r="T30" s="123"/>
      <c r="U30" s="123"/>
      <c r="V30" s="123"/>
      <c r="W30" s="123"/>
      <c r="X30" s="123"/>
      <c r="Y30" s="123"/>
    </row>
    <row r="31" spans="1:25" ht="16.5" customHeight="1" x14ac:dyDescent="0.2">
      <c r="A31" s="182"/>
      <c r="B31" s="175"/>
      <c r="C31" s="176"/>
      <c r="D31" s="176"/>
      <c r="E31" s="176"/>
      <c r="F31" s="123"/>
      <c r="G31" s="123"/>
      <c r="H31" s="123"/>
      <c r="I31" s="123"/>
      <c r="J31" s="174"/>
      <c r="K31" s="182"/>
      <c r="L31" s="123"/>
      <c r="M31" s="123"/>
      <c r="N31" s="123"/>
      <c r="O31" s="123"/>
      <c r="P31" s="123"/>
      <c r="Q31" s="123"/>
      <c r="R31" s="123"/>
      <c r="S31" s="123"/>
      <c r="T31" s="123"/>
      <c r="U31" s="123"/>
      <c r="V31" s="123"/>
      <c r="W31" s="123"/>
      <c r="X31" s="123"/>
      <c r="Y31" s="123"/>
    </row>
    <row r="32" spans="1:25" ht="16.5" customHeight="1" x14ac:dyDescent="0.2">
      <c r="A32" s="182"/>
      <c r="B32" s="175"/>
      <c r="C32" s="176"/>
      <c r="D32" s="176"/>
      <c r="E32" s="176"/>
      <c r="F32" s="123"/>
      <c r="G32" s="123"/>
      <c r="H32" s="123"/>
      <c r="I32" s="123"/>
      <c r="J32" s="174"/>
      <c r="K32" s="182"/>
      <c r="L32" s="123"/>
      <c r="M32" s="123"/>
      <c r="N32" s="123"/>
      <c r="O32" s="123"/>
      <c r="P32" s="123"/>
      <c r="Q32" s="123"/>
      <c r="R32" s="123"/>
      <c r="S32" s="123"/>
      <c r="T32" s="123"/>
      <c r="U32" s="123"/>
      <c r="V32" s="123"/>
      <c r="W32" s="123"/>
      <c r="X32" s="123"/>
      <c r="Y32" s="123"/>
    </row>
    <row r="33" spans="1:25" ht="16.5" customHeight="1" x14ac:dyDescent="0.2">
      <c r="A33" s="182"/>
      <c r="B33" s="175"/>
      <c r="C33" s="176"/>
      <c r="D33" s="176"/>
      <c r="E33" s="176"/>
      <c r="F33" s="123"/>
      <c r="G33" s="123"/>
      <c r="H33" s="123"/>
      <c r="I33" s="123"/>
      <c r="J33" s="174"/>
      <c r="K33" s="182"/>
      <c r="L33" s="123"/>
      <c r="M33" s="123"/>
      <c r="N33" s="123"/>
      <c r="O33" s="123"/>
      <c r="P33" s="123"/>
      <c r="Q33" s="123"/>
      <c r="R33" s="123"/>
      <c r="S33" s="123"/>
      <c r="T33" s="123"/>
      <c r="U33" s="123"/>
      <c r="V33" s="123"/>
      <c r="W33" s="123"/>
      <c r="X33" s="123"/>
      <c r="Y33" s="123"/>
    </row>
    <row r="34" spans="1:25" ht="16.5" customHeight="1" x14ac:dyDescent="0.2">
      <c r="A34" s="182"/>
      <c r="B34" s="175"/>
      <c r="C34" s="176"/>
      <c r="D34" s="176"/>
      <c r="E34" s="176"/>
      <c r="F34" s="123"/>
      <c r="G34" s="123"/>
      <c r="H34" s="123"/>
      <c r="I34" s="123"/>
      <c r="J34" s="174"/>
      <c r="K34" s="182"/>
      <c r="L34" s="123"/>
      <c r="M34" s="123"/>
      <c r="N34" s="123"/>
      <c r="O34" s="123"/>
      <c r="P34" s="123"/>
      <c r="Q34" s="123"/>
      <c r="R34" s="123"/>
      <c r="S34" s="123"/>
      <c r="T34" s="123"/>
      <c r="U34" s="123"/>
      <c r="V34" s="123"/>
      <c r="W34" s="123"/>
      <c r="X34" s="123"/>
      <c r="Y34" s="123"/>
    </row>
    <row r="35" spans="1:25" ht="16.5" customHeight="1" x14ac:dyDescent="0.2">
      <c r="A35" s="182"/>
      <c r="B35" s="175"/>
      <c r="C35" s="176"/>
      <c r="D35" s="176"/>
      <c r="E35" s="176"/>
      <c r="F35" s="123"/>
      <c r="G35" s="123"/>
      <c r="H35" s="123"/>
      <c r="I35" s="123"/>
      <c r="J35" s="174"/>
      <c r="K35" s="182"/>
      <c r="L35" s="123"/>
      <c r="M35" s="123"/>
      <c r="N35" s="123"/>
      <c r="O35" s="123"/>
      <c r="P35" s="123"/>
      <c r="Q35" s="123"/>
      <c r="R35" s="123"/>
      <c r="S35" s="123"/>
      <c r="T35" s="123"/>
      <c r="U35" s="123"/>
      <c r="V35" s="123"/>
      <c r="W35" s="123"/>
      <c r="X35" s="123"/>
      <c r="Y35" s="123"/>
    </row>
    <row r="36" spans="1:25" ht="16.5" customHeight="1" x14ac:dyDescent="0.2">
      <c r="A36" s="182"/>
      <c r="B36" s="175"/>
      <c r="C36" s="176"/>
      <c r="D36" s="176"/>
      <c r="E36" s="176"/>
      <c r="F36" s="123"/>
      <c r="G36" s="123"/>
      <c r="H36" s="123"/>
      <c r="I36" s="123"/>
      <c r="J36" s="174"/>
      <c r="K36" s="182"/>
      <c r="L36" s="123"/>
      <c r="M36" s="123"/>
      <c r="N36" s="123"/>
      <c r="O36" s="123"/>
      <c r="P36" s="123"/>
      <c r="Q36" s="123"/>
      <c r="R36" s="123"/>
      <c r="S36" s="123"/>
      <c r="T36" s="123"/>
      <c r="U36" s="123"/>
      <c r="V36" s="123"/>
      <c r="W36" s="123"/>
      <c r="X36" s="123"/>
      <c r="Y36" s="123"/>
    </row>
    <row r="37" spans="1:25" ht="16.5" customHeight="1" x14ac:dyDescent="0.2">
      <c r="A37" s="182"/>
      <c r="B37" s="175"/>
      <c r="C37" s="176"/>
      <c r="D37" s="176"/>
      <c r="E37" s="176"/>
      <c r="F37" s="123"/>
      <c r="G37" s="123"/>
      <c r="H37" s="123"/>
      <c r="I37" s="123"/>
      <c r="J37" s="174"/>
      <c r="K37" s="182"/>
      <c r="L37" s="123"/>
      <c r="M37" s="123"/>
      <c r="N37" s="123"/>
      <c r="O37" s="123"/>
      <c r="P37" s="123"/>
      <c r="Q37" s="123"/>
      <c r="R37" s="123"/>
      <c r="S37" s="123"/>
      <c r="T37" s="123"/>
      <c r="U37" s="123"/>
      <c r="V37" s="123"/>
      <c r="W37" s="123"/>
      <c r="X37" s="123"/>
      <c r="Y37" s="123"/>
    </row>
    <row r="38" spans="1:25" ht="16.5" customHeight="1" x14ac:dyDescent="0.2">
      <c r="A38" s="182"/>
      <c r="B38" s="175"/>
      <c r="C38" s="176"/>
      <c r="D38" s="176"/>
      <c r="E38" s="176"/>
      <c r="F38" s="123"/>
      <c r="G38" s="123"/>
      <c r="H38" s="123"/>
      <c r="I38" s="123"/>
      <c r="J38" s="174"/>
      <c r="K38" s="182"/>
      <c r="L38" s="123"/>
      <c r="M38" s="123"/>
      <c r="N38" s="123"/>
      <c r="O38" s="123"/>
      <c r="P38" s="123"/>
      <c r="Q38" s="123"/>
      <c r="R38" s="123"/>
      <c r="S38" s="123"/>
      <c r="T38" s="123"/>
      <c r="U38" s="123"/>
      <c r="V38" s="123"/>
      <c r="W38" s="123"/>
      <c r="X38" s="123"/>
      <c r="Y38" s="123"/>
    </row>
    <row r="39" spans="1:25" ht="16.5" customHeight="1" x14ac:dyDescent="0.2">
      <c r="A39" s="182"/>
      <c r="B39" s="175"/>
      <c r="C39" s="176"/>
      <c r="D39" s="176"/>
      <c r="E39" s="176"/>
      <c r="F39" s="123"/>
      <c r="G39" s="123"/>
      <c r="H39" s="123"/>
      <c r="I39" s="123"/>
      <c r="J39" s="174"/>
      <c r="K39" s="182"/>
      <c r="L39" s="123"/>
      <c r="M39" s="123"/>
      <c r="N39" s="123"/>
      <c r="O39" s="123"/>
      <c r="P39" s="123"/>
      <c r="Q39" s="123"/>
      <c r="R39" s="123"/>
      <c r="S39" s="123"/>
      <c r="T39" s="123"/>
      <c r="U39" s="123"/>
      <c r="V39" s="123"/>
      <c r="W39" s="123"/>
      <c r="X39" s="123"/>
      <c r="Y39" s="123"/>
    </row>
    <row r="40" spans="1:25" ht="16.5" customHeight="1" x14ac:dyDescent="0.2">
      <c r="A40" s="182"/>
      <c r="B40" s="175"/>
      <c r="C40" s="176"/>
      <c r="D40" s="176"/>
      <c r="E40" s="176"/>
      <c r="F40" s="123"/>
      <c r="G40" s="123"/>
      <c r="H40" s="123"/>
      <c r="I40" s="123"/>
      <c r="J40" s="174"/>
      <c r="K40" s="182"/>
      <c r="L40" s="123"/>
      <c r="M40" s="123"/>
      <c r="N40" s="123"/>
      <c r="O40" s="123"/>
      <c r="P40" s="123"/>
      <c r="Q40" s="123"/>
      <c r="R40" s="123"/>
      <c r="S40" s="123"/>
      <c r="T40" s="123"/>
      <c r="U40" s="123"/>
      <c r="V40" s="123"/>
      <c r="W40" s="123"/>
      <c r="X40" s="123"/>
      <c r="Y40" s="123"/>
    </row>
    <row r="41" spans="1:25" ht="16.5" customHeight="1" x14ac:dyDescent="0.2">
      <c r="A41" s="182"/>
      <c r="B41" s="175"/>
      <c r="C41" s="176"/>
      <c r="D41" s="176"/>
      <c r="E41" s="176"/>
      <c r="F41" s="123"/>
      <c r="G41" s="123"/>
      <c r="H41" s="123"/>
      <c r="I41" s="123"/>
      <c r="J41" s="174"/>
      <c r="K41" s="182"/>
      <c r="L41" s="123"/>
      <c r="M41" s="123"/>
      <c r="N41" s="123"/>
      <c r="O41" s="123"/>
      <c r="P41" s="123"/>
      <c r="Q41" s="123"/>
      <c r="R41" s="123"/>
      <c r="S41" s="123"/>
      <c r="T41" s="123"/>
      <c r="U41" s="123"/>
      <c r="V41" s="123"/>
      <c r="W41" s="123"/>
      <c r="X41" s="123"/>
      <c r="Y41" s="123"/>
    </row>
    <row r="42" spans="1:25" ht="16.5" customHeight="1" x14ac:dyDescent="0.2">
      <c r="A42" s="182"/>
      <c r="B42" s="175"/>
      <c r="C42" s="176"/>
      <c r="D42" s="176"/>
      <c r="E42" s="176"/>
      <c r="F42" s="123"/>
      <c r="G42" s="123"/>
      <c r="H42" s="123"/>
      <c r="I42" s="123"/>
      <c r="J42" s="174"/>
      <c r="K42" s="182"/>
      <c r="L42" s="123"/>
      <c r="M42" s="123"/>
      <c r="N42" s="123"/>
      <c r="O42" s="123"/>
      <c r="P42" s="123"/>
      <c r="Q42" s="123"/>
      <c r="R42" s="123"/>
      <c r="S42" s="123"/>
      <c r="T42" s="123"/>
      <c r="U42" s="123"/>
      <c r="V42" s="123"/>
      <c r="W42" s="123"/>
      <c r="X42" s="123"/>
      <c r="Y42" s="123"/>
    </row>
    <row r="43" spans="1:25" ht="16.5" customHeight="1" x14ac:dyDescent="0.2">
      <c r="A43" s="182"/>
      <c r="B43" s="175"/>
      <c r="C43" s="176"/>
      <c r="D43" s="176"/>
      <c r="E43" s="176"/>
      <c r="F43" s="123"/>
      <c r="G43" s="123"/>
      <c r="H43" s="123"/>
      <c r="I43" s="123"/>
      <c r="J43" s="174"/>
      <c r="K43" s="182"/>
      <c r="L43" s="123"/>
      <c r="M43" s="123"/>
      <c r="N43" s="123"/>
      <c r="O43" s="123"/>
      <c r="P43" s="123"/>
      <c r="Q43" s="123"/>
      <c r="R43" s="123"/>
      <c r="S43" s="123"/>
      <c r="T43" s="123"/>
      <c r="U43" s="123"/>
      <c r="V43" s="123"/>
      <c r="W43" s="123"/>
      <c r="X43" s="123"/>
      <c r="Y43" s="123"/>
    </row>
    <row r="44" spans="1:25" ht="16.5" customHeight="1" x14ac:dyDescent="0.2">
      <c r="A44" s="182"/>
      <c r="B44" s="175"/>
      <c r="C44" s="176"/>
      <c r="D44" s="176"/>
      <c r="E44" s="176"/>
      <c r="F44" s="123"/>
      <c r="G44" s="123"/>
      <c r="H44" s="123"/>
      <c r="I44" s="123"/>
      <c r="J44" s="174"/>
      <c r="K44" s="182"/>
      <c r="L44" s="123"/>
      <c r="M44" s="123"/>
      <c r="N44" s="123"/>
      <c r="O44" s="123"/>
      <c r="P44" s="123"/>
      <c r="Q44" s="123"/>
      <c r="R44" s="123"/>
      <c r="S44" s="123"/>
      <c r="T44" s="123"/>
      <c r="U44" s="123"/>
      <c r="V44" s="123"/>
      <c r="W44" s="123"/>
      <c r="X44" s="123"/>
      <c r="Y44" s="123"/>
    </row>
    <row r="45" spans="1:25" ht="16.5" customHeight="1" x14ac:dyDescent="0.2">
      <c r="A45" s="182"/>
      <c r="B45" s="175"/>
      <c r="C45" s="176"/>
      <c r="D45" s="176"/>
      <c r="E45" s="176"/>
      <c r="F45" s="123"/>
      <c r="G45" s="123"/>
      <c r="H45" s="123"/>
      <c r="I45" s="123"/>
      <c r="J45" s="174"/>
      <c r="K45" s="182"/>
      <c r="L45" s="123"/>
      <c r="M45" s="123"/>
      <c r="N45" s="123"/>
      <c r="O45" s="123"/>
      <c r="P45" s="123"/>
      <c r="Q45" s="123"/>
      <c r="R45" s="123"/>
      <c r="S45" s="123"/>
      <c r="T45" s="123"/>
      <c r="U45" s="123"/>
      <c r="V45" s="123"/>
      <c r="W45" s="123"/>
      <c r="X45" s="123"/>
      <c r="Y45" s="123"/>
    </row>
    <row r="46" spans="1:25" ht="16.5" customHeight="1" x14ac:dyDescent="0.2">
      <c r="A46" s="182"/>
      <c r="B46" s="175"/>
      <c r="C46" s="176"/>
      <c r="D46" s="176"/>
      <c r="E46" s="176"/>
      <c r="F46" s="123"/>
      <c r="G46" s="123"/>
      <c r="H46" s="123"/>
      <c r="I46" s="123"/>
      <c r="J46" s="174"/>
      <c r="K46" s="182"/>
      <c r="L46" s="123"/>
      <c r="M46" s="123"/>
      <c r="N46" s="123"/>
      <c r="O46" s="123"/>
      <c r="P46" s="123"/>
      <c r="Q46" s="123"/>
      <c r="R46" s="123"/>
      <c r="S46" s="123"/>
      <c r="T46" s="123"/>
      <c r="U46" s="123"/>
      <c r="V46" s="123"/>
      <c r="W46" s="123"/>
      <c r="X46" s="123"/>
      <c r="Y46" s="123"/>
    </row>
    <row r="47" spans="1:25" ht="16.5" customHeight="1" x14ac:dyDescent="0.2">
      <c r="A47" s="182"/>
      <c r="B47" s="175"/>
      <c r="C47" s="176"/>
      <c r="D47" s="176"/>
      <c r="E47" s="176"/>
      <c r="F47" s="123"/>
      <c r="G47" s="123"/>
      <c r="H47" s="123"/>
      <c r="I47" s="123"/>
      <c r="J47" s="174"/>
      <c r="K47" s="182"/>
      <c r="L47" s="123"/>
      <c r="M47" s="123"/>
      <c r="N47" s="123"/>
      <c r="O47" s="123"/>
      <c r="P47" s="123"/>
      <c r="Q47" s="123"/>
      <c r="R47" s="123"/>
      <c r="S47" s="123"/>
      <c r="T47" s="123"/>
      <c r="U47" s="123"/>
      <c r="V47" s="123"/>
      <c r="W47" s="123"/>
      <c r="X47" s="123"/>
      <c r="Y47" s="123"/>
    </row>
    <row r="48" spans="1:25" ht="16.5" customHeight="1" x14ac:dyDescent="0.2">
      <c r="A48" s="182"/>
      <c r="B48" s="175"/>
      <c r="C48" s="176"/>
      <c r="D48" s="176"/>
      <c r="E48" s="176"/>
      <c r="F48" s="123"/>
      <c r="G48" s="123"/>
      <c r="H48" s="123"/>
      <c r="I48" s="123"/>
      <c r="J48" s="174"/>
      <c r="K48" s="182"/>
      <c r="L48" s="123"/>
      <c r="M48" s="123"/>
      <c r="N48" s="123"/>
      <c r="O48" s="123"/>
      <c r="P48" s="123"/>
      <c r="Q48" s="123"/>
      <c r="R48" s="123"/>
      <c r="S48" s="123"/>
      <c r="T48" s="123"/>
      <c r="U48" s="123"/>
      <c r="V48" s="123"/>
      <c r="W48" s="123"/>
      <c r="X48" s="123"/>
      <c r="Y48" s="123"/>
    </row>
    <row r="49" spans="1:25" ht="16.5" customHeight="1" x14ac:dyDescent="0.2">
      <c r="A49" s="182"/>
      <c r="B49" s="175"/>
      <c r="C49" s="176"/>
      <c r="D49" s="176"/>
      <c r="E49" s="176"/>
      <c r="F49" s="123"/>
      <c r="G49" s="123"/>
      <c r="H49" s="123"/>
      <c r="I49" s="123"/>
      <c r="J49" s="174"/>
      <c r="K49" s="182"/>
      <c r="L49" s="123"/>
      <c r="M49" s="123"/>
      <c r="N49" s="123"/>
      <c r="O49" s="123"/>
      <c r="P49" s="123"/>
      <c r="Q49" s="123"/>
      <c r="R49" s="123"/>
      <c r="S49" s="123"/>
      <c r="T49" s="123"/>
      <c r="U49" s="123"/>
      <c r="V49" s="123"/>
      <c r="W49" s="123"/>
      <c r="X49" s="123"/>
      <c r="Y49" s="123"/>
    </row>
    <row r="50" spans="1:25" ht="16.5" customHeight="1" x14ac:dyDescent="0.2">
      <c r="A50" s="182"/>
      <c r="B50" s="175"/>
      <c r="C50" s="176"/>
      <c r="D50" s="176"/>
      <c r="E50" s="176"/>
      <c r="F50" s="123"/>
      <c r="G50" s="123"/>
      <c r="H50" s="123"/>
      <c r="I50" s="123"/>
      <c r="J50" s="174"/>
      <c r="K50" s="182"/>
      <c r="L50" s="123"/>
      <c r="M50" s="123"/>
      <c r="N50" s="123"/>
      <c r="O50" s="123"/>
      <c r="P50" s="123"/>
      <c r="Q50" s="123"/>
      <c r="R50" s="123"/>
      <c r="S50" s="123"/>
      <c r="T50" s="123"/>
      <c r="U50" s="123"/>
      <c r="V50" s="123"/>
      <c r="W50" s="123"/>
      <c r="X50" s="123"/>
      <c r="Y50" s="123"/>
    </row>
    <row r="51" spans="1:25" ht="16.5" customHeight="1" x14ac:dyDescent="0.2">
      <c r="A51" s="182"/>
      <c r="B51" s="175"/>
      <c r="C51" s="176"/>
      <c r="D51" s="176"/>
      <c r="E51" s="176"/>
      <c r="F51" s="123"/>
      <c r="G51" s="123"/>
      <c r="H51" s="123"/>
      <c r="I51" s="123"/>
      <c r="J51" s="174"/>
      <c r="K51" s="182"/>
      <c r="L51" s="123"/>
      <c r="M51" s="123"/>
      <c r="N51" s="123"/>
      <c r="O51" s="123"/>
      <c r="P51" s="123"/>
      <c r="Q51" s="123"/>
      <c r="R51" s="123"/>
      <c r="S51" s="123"/>
      <c r="T51" s="123"/>
      <c r="U51" s="123"/>
      <c r="V51" s="123"/>
      <c r="W51" s="123"/>
      <c r="X51" s="123"/>
      <c r="Y51" s="123"/>
    </row>
    <row r="52" spans="1:25" ht="16.5" customHeight="1" x14ac:dyDescent="0.2">
      <c r="A52" s="182"/>
      <c r="B52" s="175"/>
      <c r="C52" s="176"/>
      <c r="D52" s="176"/>
      <c r="E52" s="176"/>
      <c r="F52" s="123"/>
      <c r="G52" s="123"/>
      <c r="H52" s="123"/>
      <c r="I52" s="123"/>
      <c r="J52" s="174"/>
      <c r="K52" s="182"/>
      <c r="L52" s="123"/>
      <c r="M52" s="123"/>
      <c r="N52" s="123"/>
      <c r="O52" s="123"/>
      <c r="P52" s="123"/>
      <c r="Q52" s="123"/>
      <c r="R52" s="123"/>
      <c r="S52" s="123"/>
      <c r="T52" s="123"/>
      <c r="U52" s="123"/>
      <c r="V52" s="123"/>
      <c r="W52" s="123"/>
      <c r="X52" s="123"/>
      <c r="Y52" s="123"/>
    </row>
    <row r="53" spans="1:25" ht="16.5" customHeight="1" x14ac:dyDescent="0.2">
      <c r="A53" s="182"/>
      <c r="B53" s="175"/>
      <c r="C53" s="176"/>
      <c r="D53" s="176"/>
      <c r="E53" s="176"/>
      <c r="F53" s="123"/>
      <c r="G53" s="123"/>
      <c r="H53" s="123"/>
      <c r="I53" s="123"/>
      <c r="J53" s="174"/>
      <c r="K53" s="182"/>
      <c r="L53" s="123"/>
      <c r="M53" s="123"/>
      <c r="N53" s="123"/>
      <c r="O53" s="123"/>
      <c r="P53" s="123"/>
      <c r="Q53" s="123"/>
      <c r="R53" s="123"/>
      <c r="S53" s="123"/>
      <c r="T53" s="123"/>
      <c r="U53" s="123"/>
      <c r="V53" s="123"/>
      <c r="W53" s="123"/>
      <c r="X53" s="123"/>
      <c r="Y53" s="123"/>
    </row>
    <row r="54" spans="1:25" ht="16.5" customHeight="1" x14ac:dyDescent="0.2">
      <c r="A54" s="182"/>
      <c r="B54" s="175"/>
      <c r="C54" s="176"/>
      <c r="D54" s="176"/>
      <c r="E54" s="176"/>
      <c r="F54" s="123"/>
      <c r="G54" s="123"/>
      <c r="H54" s="123"/>
      <c r="I54" s="123"/>
      <c r="J54" s="174"/>
      <c r="K54" s="182"/>
      <c r="L54" s="123"/>
      <c r="M54" s="123"/>
      <c r="N54" s="123"/>
      <c r="O54" s="123"/>
      <c r="P54" s="123"/>
      <c r="Q54" s="123"/>
      <c r="R54" s="123"/>
      <c r="S54" s="123"/>
      <c r="T54" s="123"/>
      <c r="U54" s="123"/>
      <c r="V54" s="123"/>
      <c r="W54" s="123"/>
      <c r="X54" s="123"/>
      <c r="Y54" s="123"/>
    </row>
    <row r="55" spans="1:25" ht="16.5" customHeight="1" x14ac:dyDescent="0.2">
      <c r="A55" s="182"/>
      <c r="B55" s="175"/>
      <c r="C55" s="176"/>
      <c r="D55" s="176"/>
      <c r="E55" s="176"/>
      <c r="F55" s="123"/>
      <c r="G55" s="123"/>
      <c r="H55" s="123"/>
      <c r="I55" s="123"/>
      <c r="J55" s="174"/>
      <c r="K55" s="182"/>
      <c r="L55" s="123"/>
      <c r="M55" s="123"/>
      <c r="N55" s="123"/>
      <c r="O55" s="123"/>
      <c r="P55" s="123"/>
      <c r="Q55" s="123"/>
      <c r="R55" s="123"/>
      <c r="S55" s="123"/>
      <c r="T55" s="123"/>
      <c r="U55" s="123"/>
      <c r="V55" s="123"/>
      <c r="W55" s="123"/>
      <c r="X55" s="123"/>
      <c r="Y55" s="123"/>
    </row>
    <row r="56" spans="1:25" ht="16.5" customHeight="1" x14ac:dyDescent="0.2">
      <c r="A56" s="182"/>
      <c r="B56" s="175"/>
      <c r="C56" s="176"/>
      <c r="D56" s="176"/>
      <c r="E56" s="176"/>
      <c r="F56" s="123"/>
      <c r="G56" s="123"/>
      <c r="H56" s="123"/>
      <c r="I56" s="123"/>
      <c r="J56" s="174"/>
      <c r="K56" s="182"/>
      <c r="L56" s="123"/>
      <c r="M56" s="123"/>
      <c r="N56" s="123"/>
      <c r="O56" s="123"/>
      <c r="P56" s="123"/>
      <c r="Q56" s="123"/>
      <c r="R56" s="123"/>
      <c r="S56" s="123"/>
      <c r="T56" s="123"/>
      <c r="U56" s="123"/>
      <c r="V56" s="123"/>
      <c r="W56" s="123"/>
      <c r="X56" s="123"/>
      <c r="Y56" s="123"/>
    </row>
    <row r="57" spans="1:25" ht="16.5" customHeight="1" x14ac:dyDescent="0.2">
      <c r="A57" s="182"/>
      <c r="B57" s="175"/>
      <c r="C57" s="176"/>
      <c r="D57" s="176"/>
      <c r="E57" s="176"/>
      <c r="F57" s="123"/>
      <c r="G57" s="123"/>
      <c r="H57" s="123"/>
      <c r="I57" s="123"/>
      <c r="J57" s="174"/>
      <c r="K57" s="182"/>
      <c r="L57" s="123"/>
      <c r="M57" s="123"/>
      <c r="N57" s="123"/>
      <c r="O57" s="123"/>
      <c r="P57" s="123"/>
      <c r="Q57" s="123"/>
      <c r="R57" s="123"/>
      <c r="S57" s="123"/>
      <c r="T57" s="123"/>
      <c r="U57" s="123"/>
      <c r="V57" s="123"/>
      <c r="W57" s="123"/>
      <c r="X57" s="123"/>
      <c r="Y57" s="123"/>
    </row>
    <row r="58" spans="1:25" ht="15" hidden="1" customHeight="1" x14ac:dyDescent="0.2">
      <c r="A58" s="182"/>
      <c r="B58" s="175"/>
      <c r="C58" s="176"/>
      <c r="D58" s="176"/>
      <c r="E58" s="176"/>
      <c r="F58" s="123"/>
      <c r="G58" s="123"/>
      <c r="H58" s="123"/>
      <c r="I58" s="123"/>
      <c r="J58" s="174"/>
      <c r="K58" s="182"/>
      <c r="L58" s="123"/>
      <c r="M58" s="123"/>
      <c r="N58" s="123"/>
      <c r="O58" s="123"/>
      <c r="P58" s="123"/>
      <c r="Q58" s="123"/>
      <c r="R58" s="123"/>
      <c r="S58" s="123"/>
      <c r="T58" s="123"/>
      <c r="U58" s="123"/>
      <c r="V58" s="123"/>
      <c r="W58" s="123"/>
      <c r="X58" s="123"/>
      <c r="Y58" s="123"/>
    </row>
    <row r="59" spans="1:25" ht="15" hidden="1" customHeight="1" x14ac:dyDescent="0.2">
      <c r="A59" s="182"/>
      <c r="B59" s="175"/>
      <c r="C59" s="176"/>
      <c r="D59" s="176"/>
      <c r="E59" s="176"/>
      <c r="F59" s="123"/>
      <c r="G59" s="123"/>
      <c r="H59" s="123"/>
      <c r="I59" s="123"/>
      <c r="J59" s="174"/>
      <c r="K59" s="182"/>
      <c r="L59" s="123"/>
      <c r="M59" s="123"/>
      <c r="N59" s="123"/>
      <c r="O59" s="123"/>
      <c r="P59" s="123"/>
      <c r="Q59" s="123"/>
      <c r="R59" s="123"/>
      <c r="S59" s="123"/>
      <c r="T59" s="123"/>
      <c r="U59" s="123"/>
      <c r="V59" s="123"/>
      <c r="W59" s="123"/>
      <c r="X59" s="123"/>
      <c r="Y59" s="123"/>
    </row>
    <row r="60" spans="1:25" ht="15" hidden="1" customHeight="1" x14ac:dyDescent="0.2">
      <c r="A60" s="182"/>
      <c r="B60" s="175"/>
      <c r="C60" s="176"/>
      <c r="D60" s="176"/>
      <c r="E60" s="176"/>
      <c r="F60" s="123"/>
      <c r="G60" s="123"/>
      <c r="H60" s="123"/>
      <c r="I60" s="123"/>
      <c r="J60" s="174"/>
      <c r="K60" s="182"/>
      <c r="L60" s="123"/>
      <c r="M60" s="123"/>
      <c r="N60" s="123"/>
      <c r="O60" s="123"/>
      <c r="P60" s="123"/>
      <c r="Q60" s="123"/>
      <c r="R60" s="123"/>
      <c r="S60" s="123"/>
      <c r="T60" s="123"/>
      <c r="U60" s="123"/>
      <c r="V60" s="123"/>
      <c r="W60" s="123"/>
      <c r="X60" s="123"/>
      <c r="Y60" s="123"/>
    </row>
    <row r="61" spans="1:25" ht="15" hidden="1" customHeight="1" x14ac:dyDescent="0.2">
      <c r="A61" s="182"/>
      <c r="B61" s="175"/>
      <c r="C61" s="176"/>
      <c r="D61" s="176"/>
      <c r="E61" s="176"/>
      <c r="F61" s="123"/>
      <c r="G61" s="123"/>
      <c r="H61" s="123"/>
      <c r="I61" s="123"/>
      <c r="J61" s="174"/>
      <c r="K61" s="182"/>
      <c r="L61" s="123"/>
      <c r="M61" s="123"/>
      <c r="N61" s="123"/>
      <c r="O61" s="123"/>
      <c r="P61" s="123"/>
      <c r="Q61" s="123"/>
      <c r="R61" s="123"/>
      <c r="S61" s="123"/>
      <c r="T61" s="123"/>
      <c r="U61" s="123"/>
      <c r="V61" s="123"/>
      <c r="W61" s="123"/>
      <c r="X61" s="123"/>
      <c r="Y61" s="123"/>
    </row>
    <row r="62" spans="1:25" ht="15" hidden="1" customHeight="1" x14ac:dyDescent="0.2">
      <c r="A62" s="182"/>
      <c r="B62" s="175"/>
      <c r="C62" s="176"/>
      <c r="D62" s="176"/>
      <c r="E62" s="176"/>
      <c r="F62" s="123"/>
      <c r="G62" s="123"/>
      <c r="H62" s="123"/>
      <c r="I62" s="123"/>
      <c r="J62" s="174"/>
      <c r="K62" s="182"/>
      <c r="L62" s="123"/>
      <c r="M62" s="123"/>
      <c r="N62" s="123"/>
      <c r="O62" s="123"/>
      <c r="P62" s="123"/>
      <c r="Q62" s="123"/>
      <c r="R62" s="123"/>
      <c r="S62" s="123"/>
      <c r="T62" s="123"/>
      <c r="U62" s="123"/>
      <c r="V62" s="123"/>
      <c r="W62" s="123"/>
      <c r="X62" s="123"/>
      <c r="Y62" s="123"/>
    </row>
    <row r="63" spans="1:25" ht="15" hidden="1" customHeight="1" x14ac:dyDescent="0.2">
      <c r="A63" s="182"/>
      <c r="B63" s="175"/>
      <c r="C63" s="176"/>
      <c r="D63" s="176"/>
      <c r="E63" s="176"/>
      <c r="F63" s="123"/>
      <c r="G63" s="123"/>
      <c r="H63" s="123"/>
      <c r="I63" s="123"/>
      <c r="J63" s="174"/>
      <c r="K63" s="182"/>
      <c r="L63" s="123"/>
      <c r="M63" s="123"/>
      <c r="N63" s="123"/>
      <c r="O63" s="123"/>
      <c r="P63" s="123"/>
      <c r="Q63" s="123"/>
      <c r="R63" s="123"/>
      <c r="S63" s="123"/>
      <c r="T63" s="123"/>
      <c r="U63" s="123"/>
      <c r="V63" s="123"/>
      <c r="W63" s="123"/>
      <c r="X63" s="123"/>
      <c r="Y63" s="123"/>
    </row>
    <row r="64" spans="1:25" ht="15" hidden="1" customHeight="1" x14ac:dyDescent="0.2">
      <c r="A64" s="182"/>
      <c r="B64" s="175"/>
      <c r="C64" s="176"/>
      <c r="D64" s="176"/>
      <c r="E64" s="176"/>
      <c r="F64" s="123"/>
      <c r="G64" s="123"/>
      <c r="H64" s="123"/>
      <c r="I64" s="123"/>
      <c r="J64" s="174"/>
      <c r="K64" s="182"/>
      <c r="L64" s="123"/>
      <c r="M64" s="123"/>
      <c r="N64" s="123"/>
      <c r="O64" s="123"/>
      <c r="P64" s="123"/>
      <c r="Q64" s="123"/>
      <c r="R64" s="123"/>
      <c r="S64" s="123"/>
      <c r="T64" s="123"/>
      <c r="U64" s="123"/>
      <c r="V64" s="123"/>
      <c r="W64" s="123"/>
      <c r="X64" s="123"/>
      <c r="Y64" s="123"/>
    </row>
    <row r="65" spans="1:25" ht="15" hidden="1" customHeight="1" x14ac:dyDescent="0.2">
      <c r="A65" s="182"/>
      <c r="B65" s="175"/>
      <c r="C65" s="176"/>
      <c r="D65" s="176"/>
      <c r="E65" s="176"/>
      <c r="F65" s="123"/>
      <c r="G65" s="123"/>
      <c r="H65" s="123"/>
      <c r="I65" s="123"/>
      <c r="J65" s="174"/>
      <c r="K65" s="182"/>
      <c r="L65" s="123"/>
      <c r="M65" s="123"/>
      <c r="N65" s="123"/>
      <c r="O65" s="123"/>
      <c r="P65" s="123"/>
      <c r="Q65" s="123"/>
      <c r="R65" s="123"/>
      <c r="S65" s="123"/>
      <c r="T65" s="123"/>
      <c r="U65" s="123"/>
      <c r="V65" s="123"/>
      <c r="W65" s="123"/>
      <c r="X65" s="123"/>
      <c r="Y65" s="123"/>
    </row>
    <row r="66" spans="1:25" ht="15" hidden="1" customHeight="1" x14ac:dyDescent="0.2">
      <c r="A66" s="182"/>
      <c r="B66" s="175"/>
      <c r="C66" s="176"/>
      <c r="D66" s="176"/>
      <c r="E66" s="176"/>
      <c r="F66" s="123"/>
      <c r="G66" s="123"/>
      <c r="H66" s="123"/>
      <c r="I66" s="123"/>
      <c r="J66" s="174"/>
      <c r="K66" s="182"/>
      <c r="L66" s="123"/>
      <c r="M66" s="123"/>
      <c r="N66" s="123"/>
      <c r="O66" s="123"/>
      <c r="P66" s="123"/>
      <c r="Q66" s="123"/>
      <c r="R66" s="123"/>
      <c r="S66" s="123"/>
      <c r="T66" s="123"/>
      <c r="U66" s="123"/>
      <c r="V66" s="123"/>
      <c r="W66" s="123"/>
      <c r="X66" s="123"/>
      <c r="Y66" s="123"/>
    </row>
    <row r="67" spans="1:25" ht="15" hidden="1" customHeight="1" x14ac:dyDescent="0.2">
      <c r="A67" s="182"/>
      <c r="B67" s="175"/>
      <c r="C67" s="176"/>
      <c r="D67" s="176"/>
      <c r="E67" s="176"/>
      <c r="F67" s="123"/>
      <c r="G67" s="123"/>
      <c r="H67" s="123"/>
      <c r="I67" s="123"/>
      <c r="J67" s="174"/>
      <c r="K67" s="182"/>
      <c r="L67" s="123"/>
      <c r="M67" s="123"/>
      <c r="N67" s="123"/>
      <c r="O67" s="123"/>
      <c r="P67" s="123"/>
      <c r="Q67" s="123"/>
      <c r="R67" s="123"/>
      <c r="S67" s="123"/>
      <c r="T67" s="123"/>
      <c r="U67" s="123"/>
      <c r="V67" s="123"/>
      <c r="W67" s="123"/>
      <c r="X67" s="123"/>
      <c r="Y67" s="123"/>
    </row>
    <row r="68" spans="1:25" ht="15.75" customHeight="1" x14ac:dyDescent="0.2">
      <c r="A68" s="182"/>
      <c r="B68" s="175"/>
      <c r="C68" s="176"/>
      <c r="D68" s="176"/>
      <c r="E68" s="176"/>
      <c r="F68" s="123"/>
      <c r="G68" s="123"/>
      <c r="H68" s="123"/>
      <c r="I68" s="123"/>
      <c r="J68" s="174"/>
      <c r="K68" s="182"/>
      <c r="L68" s="123"/>
      <c r="M68" s="123"/>
      <c r="N68" s="123"/>
      <c r="O68" s="123"/>
      <c r="P68" s="123"/>
      <c r="Q68" s="123"/>
      <c r="R68" s="123"/>
      <c r="S68" s="123"/>
      <c r="T68" s="123"/>
      <c r="U68" s="123"/>
      <c r="V68" s="123"/>
      <c r="W68" s="123"/>
      <c r="X68" s="123"/>
      <c r="Y68" s="123"/>
    </row>
    <row r="69" spans="1:25" ht="15.75" customHeight="1" x14ac:dyDescent="0.2">
      <c r="A69" s="182"/>
      <c r="B69" s="175"/>
      <c r="C69" s="176"/>
      <c r="D69" s="176"/>
      <c r="E69" s="176"/>
      <c r="F69" s="123"/>
      <c r="G69" s="123"/>
      <c r="H69" s="123"/>
      <c r="I69" s="123"/>
      <c r="J69" s="174"/>
      <c r="K69" s="182"/>
      <c r="L69" s="123"/>
      <c r="M69" s="123"/>
      <c r="N69" s="123"/>
      <c r="O69" s="123"/>
      <c r="P69" s="123"/>
      <c r="Q69" s="123"/>
      <c r="R69" s="123"/>
      <c r="S69" s="123"/>
      <c r="T69" s="123"/>
      <c r="U69" s="123"/>
      <c r="V69" s="123"/>
      <c r="W69" s="123"/>
      <c r="X69" s="123"/>
      <c r="Y69" s="123"/>
    </row>
    <row r="70" spans="1:25" ht="15.75" customHeight="1" x14ac:dyDescent="0.2">
      <c r="A70" s="182"/>
      <c r="B70" s="175"/>
      <c r="C70" s="176"/>
      <c r="D70" s="176"/>
      <c r="E70" s="176"/>
      <c r="F70" s="123"/>
      <c r="G70" s="123"/>
      <c r="H70" s="123"/>
      <c r="I70" s="123"/>
      <c r="J70" s="174"/>
      <c r="K70" s="182"/>
      <c r="L70" s="123"/>
      <c r="M70" s="123"/>
      <c r="N70" s="123"/>
      <c r="O70" s="123"/>
      <c r="P70" s="123"/>
      <c r="Q70" s="123"/>
      <c r="R70" s="123"/>
      <c r="S70" s="123"/>
      <c r="T70" s="123"/>
      <c r="U70" s="123"/>
      <c r="V70" s="123"/>
      <c r="W70" s="123"/>
      <c r="X70" s="123"/>
      <c r="Y70" s="123"/>
    </row>
    <row r="71" spans="1:25" ht="15.75" customHeight="1" x14ac:dyDescent="0.2">
      <c r="A71" s="182"/>
      <c r="B71" s="175"/>
      <c r="C71" s="176"/>
      <c r="D71" s="176"/>
      <c r="E71" s="176"/>
      <c r="F71" s="123"/>
      <c r="G71" s="123"/>
      <c r="H71" s="123"/>
      <c r="I71" s="123"/>
      <c r="J71" s="174"/>
      <c r="K71" s="182"/>
      <c r="L71" s="123"/>
      <c r="M71" s="123"/>
      <c r="N71" s="123"/>
      <c r="O71" s="123"/>
      <c r="P71" s="123"/>
      <c r="Q71" s="123"/>
      <c r="R71" s="123"/>
      <c r="S71" s="123"/>
      <c r="T71" s="123"/>
      <c r="U71" s="123"/>
      <c r="V71" s="123"/>
      <c r="W71" s="123"/>
      <c r="X71" s="123"/>
      <c r="Y71" s="123"/>
    </row>
    <row r="72" spans="1:25" ht="15.75" customHeight="1" x14ac:dyDescent="0.2">
      <c r="A72" s="182"/>
      <c r="B72" s="175"/>
      <c r="C72" s="176"/>
      <c r="D72" s="176"/>
      <c r="E72" s="176"/>
      <c r="F72" s="123"/>
      <c r="G72" s="123"/>
      <c r="H72" s="123"/>
      <c r="I72" s="123"/>
      <c r="J72" s="174"/>
      <c r="K72" s="182"/>
      <c r="L72" s="123"/>
      <c r="M72" s="123"/>
      <c r="N72" s="123"/>
      <c r="O72" s="123"/>
      <c r="P72" s="123"/>
      <c r="Q72" s="123"/>
      <c r="R72" s="123"/>
      <c r="S72" s="123"/>
      <c r="T72" s="123"/>
      <c r="U72" s="123"/>
      <c r="V72" s="123"/>
      <c r="W72" s="123"/>
      <c r="X72" s="123"/>
      <c r="Y72" s="123"/>
    </row>
    <row r="73" spans="1:25" ht="15.75" customHeight="1" x14ac:dyDescent="0.2">
      <c r="A73" s="182"/>
      <c r="B73" s="175"/>
      <c r="C73" s="176"/>
      <c r="D73" s="176"/>
      <c r="E73" s="176"/>
      <c r="F73" s="123"/>
      <c r="G73" s="123"/>
      <c r="H73" s="123"/>
      <c r="I73" s="123"/>
      <c r="J73" s="174"/>
      <c r="K73" s="182"/>
      <c r="L73" s="123"/>
      <c r="M73" s="123"/>
      <c r="N73" s="123"/>
      <c r="O73" s="123"/>
      <c r="P73" s="123"/>
      <c r="Q73" s="123"/>
      <c r="R73" s="123"/>
      <c r="S73" s="123"/>
      <c r="T73" s="123"/>
      <c r="U73" s="123"/>
      <c r="V73" s="123"/>
      <c r="W73" s="123"/>
      <c r="X73" s="123"/>
      <c r="Y73" s="123"/>
    </row>
    <row r="74" spans="1:25" ht="15.75" customHeight="1" x14ac:dyDescent="0.2">
      <c r="A74" s="182"/>
      <c r="B74" s="175"/>
      <c r="C74" s="176"/>
      <c r="D74" s="176"/>
      <c r="E74" s="176"/>
      <c r="F74" s="123"/>
      <c r="G74" s="123"/>
      <c r="H74" s="123"/>
      <c r="I74" s="123"/>
      <c r="J74" s="174"/>
      <c r="K74" s="182"/>
      <c r="L74" s="123"/>
      <c r="M74" s="123"/>
      <c r="N74" s="123"/>
      <c r="O74" s="123"/>
      <c r="P74" s="123"/>
      <c r="Q74" s="123"/>
      <c r="R74" s="123"/>
      <c r="S74" s="123"/>
      <c r="T74" s="123"/>
      <c r="U74" s="123"/>
      <c r="V74" s="123"/>
      <c r="W74" s="123"/>
      <c r="X74" s="123"/>
      <c r="Y74" s="123"/>
    </row>
    <row r="75" spans="1:25" ht="15.75" customHeight="1" x14ac:dyDescent="0.2">
      <c r="A75" s="182"/>
      <c r="B75" s="175"/>
      <c r="C75" s="176"/>
      <c r="D75" s="176"/>
      <c r="E75" s="176"/>
      <c r="F75" s="123"/>
      <c r="G75" s="123"/>
      <c r="H75" s="123"/>
      <c r="I75" s="123"/>
      <c r="J75" s="174"/>
      <c r="K75" s="182"/>
      <c r="L75" s="123"/>
      <c r="M75" s="123"/>
      <c r="N75" s="123"/>
      <c r="O75" s="123"/>
      <c r="P75" s="123"/>
      <c r="Q75" s="123"/>
      <c r="R75" s="123"/>
      <c r="S75" s="123"/>
      <c r="T75" s="123"/>
      <c r="U75" s="123"/>
      <c r="V75" s="123"/>
      <c r="W75" s="123"/>
      <c r="X75" s="123"/>
      <c r="Y75" s="123"/>
    </row>
    <row r="76" spans="1:25" ht="15.75" customHeight="1" x14ac:dyDescent="0.2">
      <c r="A76" s="182"/>
      <c r="B76" s="175"/>
      <c r="C76" s="176"/>
      <c r="D76" s="176"/>
      <c r="E76" s="176"/>
      <c r="F76" s="123"/>
      <c r="G76" s="123"/>
      <c r="H76" s="123"/>
      <c r="I76" s="123"/>
      <c r="J76" s="174"/>
      <c r="K76" s="182"/>
      <c r="L76" s="123"/>
      <c r="M76" s="123"/>
      <c r="N76" s="123"/>
      <c r="O76" s="123"/>
      <c r="P76" s="123"/>
      <c r="Q76" s="123"/>
      <c r="R76" s="123"/>
      <c r="S76" s="123"/>
      <c r="T76" s="123"/>
      <c r="U76" s="123"/>
      <c r="V76" s="123"/>
      <c r="W76" s="123"/>
      <c r="X76" s="123"/>
      <c r="Y76" s="123"/>
    </row>
    <row r="77" spans="1:25" ht="15.75" customHeight="1" x14ac:dyDescent="0.2">
      <c r="A77" s="182"/>
      <c r="B77" s="175"/>
      <c r="C77" s="176"/>
      <c r="D77" s="176"/>
      <c r="E77" s="176"/>
      <c r="F77" s="123"/>
      <c r="G77" s="123"/>
      <c r="H77" s="123"/>
      <c r="I77" s="123"/>
      <c r="J77" s="174"/>
      <c r="K77" s="182"/>
      <c r="L77" s="123"/>
      <c r="M77" s="123"/>
      <c r="N77" s="123"/>
      <c r="O77" s="123"/>
      <c r="P77" s="123"/>
      <c r="Q77" s="123"/>
      <c r="R77" s="123"/>
      <c r="S77" s="123"/>
      <c r="T77" s="123"/>
      <c r="U77" s="123"/>
      <c r="V77" s="123"/>
      <c r="W77" s="123"/>
      <c r="X77" s="123"/>
      <c r="Y77" s="123"/>
    </row>
    <row r="78" spans="1:25" ht="15.75" customHeight="1" x14ac:dyDescent="0.2">
      <c r="A78" s="182"/>
      <c r="B78" s="175"/>
      <c r="C78" s="176"/>
      <c r="D78" s="176"/>
      <c r="E78" s="176"/>
      <c r="F78" s="123"/>
      <c r="G78" s="123"/>
      <c r="H78" s="123"/>
      <c r="I78" s="123"/>
      <c r="J78" s="174"/>
      <c r="K78" s="182"/>
      <c r="L78" s="123"/>
      <c r="M78" s="123"/>
      <c r="N78" s="123"/>
      <c r="O78" s="123"/>
      <c r="P78" s="123"/>
      <c r="Q78" s="123"/>
      <c r="R78" s="123"/>
      <c r="S78" s="123"/>
      <c r="T78" s="123"/>
      <c r="U78" s="123"/>
      <c r="V78" s="123"/>
      <c r="W78" s="123"/>
      <c r="X78" s="123"/>
      <c r="Y78" s="123"/>
    </row>
    <row r="79" spans="1:25" ht="15.75" customHeight="1" x14ac:dyDescent="0.2">
      <c r="A79" s="182"/>
      <c r="B79" s="175"/>
      <c r="C79" s="176"/>
      <c r="D79" s="176"/>
      <c r="E79" s="176"/>
      <c r="F79" s="123"/>
      <c r="G79" s="123"/>
      <c r="H79" s="123"/>
      <c r="I79" s="123"/>
      <c r="J79" s="174"/>
      <c r="K79" s="182"/>
      <c r="L79" s="123"/>
      <c r="M79" s="123"/>
      <c r="N79" s="123"/>
      <c r="O79" s="123"/>
      <c r="P79" s="123"/>
      <c r="Q79" s="123"/>
      <c r="R79" s="123"/>
      <c r="S79" s="123"/>
      <c r="T79" s="123"/>
      <c r="U79" s="123"/>
      <c r="V79" s="123"/>
      <c r="W79" s="123"/>
      <c r="X79" s="123"/>
      <c r="Y79" s="123"/>
    </row>
    <row r="80" spans="1:25" ht="15.75" customHeight="1" x14ac:dyDescent="0.2">
      <c r="A80" s="182"/>
      <c r="B80" s="175"/>
      <c r="C80" s="176"/>
      <c r="D80" s="176"/>
      <c r="E80" s="176"/>
      <c r="F80" s="123"/>
      <c r="G80" s="123"/>
      <c r="H80" s="123"/>
      <c r="I80" s="123"/>
      <c r="J80" s="174"/>
      <c r="K80" s="182"/>
      <c r="L80" s="123"/>
      <c r="M80" s="123"/>
      <c r="N80" s="123"/>
      <c r="O80" s="123"/>
      <c r="P80" s="123"/>
      <c r="Q80" s="123"/>
      <c r="R80" s="123"/>
      <c r="S80" s="123"/>
      <c r="T80" s="123"/>
      <c r="U80" s="123"/>
      <c r="V80" s="123"/>
      <c r="W80" s="123"/>
      <c r="X80" s="123"/>
      <c r="Y80" s="123"/>
    </row>
    <row r="81" spans="1:25" ht="15.75" customHeight="1" x14ac:dyDescent="0.2">
      <c r="A81" s="182"/>
      <c r="B81" s="175"/>
      <c r="C81" s="176"/>
      <c r="D81" s="176"/>
      <c r="E81" s="176"/>
      <c r="F81" s="123"/>
      <c r="G81" s="123"/>
      <c r="H81" s="123"/>
      <c r="I81" s="123"/>
      <c r="J81" s="174"/>
      <c r="K81" s="182"/>
      <c r="L81" s="123"/>
      <c r="M81" s="123"/>
      <c r="N81" s="123"/>
      <c r="O81" s="123"/>
      <c r="P81" s="123"/>
      <c r="Q81" s="123"/>
      <c r="R81" s="123"/>
      <c r="S81" s="123"/>
      <c r="T81" s="123"/>
      <c r="U81" s="123"/>
      <c r="V81" s="123"/>
      <c r="W81" s="123"/>
      <c r="X81" s="123"/>
      <c r="Y81" s="123"/>
    </row>
    <row r="82" spans="1:25" ht="15.75" customHeight="1" x14ac:dyDescent="0.2">
      <c r="A82" s="182"/>
      <c r="B82" s="175"/>
      <c r="C82" s="176"/>
      <c r="D82" s="176"/>
      <c r="E82" s="176"/>
      <c r="F82" s="123"/>
      <c r="G82" s="123"/>
      <c r="H82" s="123"/>
      <c r="I82" s="123"/>
      <c r="J82" s="174"/>
      <c r="K82" s="182"/>
      <c r="L82" s="123"/>
      <c r="M82" s="123"/>
      <c r="N82" s="123"/>
      <c r="O82" s="123"/>
      <c r="P82" s="123"/>
      <c r="Q82" s="123"/>
      <c r="R82" s="123"/>
      <c r="S82" s="123"/>
      <c r="T82" s="123"/>
      <c r="U82" s="123"/>
      <c r="V82" s="123"/>
      <c r="W82" s="123"/>
      <c r="X82" s="123"/>
      <c r="Y82" s="123"/>
    </row>
    <row r="83" spans="1:25" ht="15.75" customHeight="1" x14ac:dyDescent="0.2">
      <c r="A83" s="182"/>
      <c r="B83" s="175"/>
      <c r="C83" s="176"/>
      <c r="D83" s="176"/>
      <c r="E83" s="176"/>
      <c r="F83" s="123"/>
      <c r="G83" s="123"/>
      <c r="H83" s="123"/>
      <c r="I83" s="123"/>
      <c r="J83" s="174"/>
      <c r="K83" s="182"/>
      <c r="L83" s="123"/>
      <c r="M83" s="123"/>
      <c r="N83" s="123"/>
      <c r="O83" s="123"/>
      <c r="P83" s="123"/>
      <c r="Q83" s="123"/>
      <c r="R83" s="123"/>
      <c r="S83" s="123"/>
      <c r="T83" s="123"/>
      <c r="U83" s="123"/>
      <c r="V83" s="123"/>
      <c r="W83" s="123"/>
      <c r="X83" s="123"/>
      <c r="Y83" s="123"/>
    </row>
    <row r="84" spans="1:25" ht="15.75" customHeight="1" x14ac:dyDescent="0.2">
      <c r="A84" s="182"/>
      <c r="B84" s="175"/>
      <c r="C84" s="176"/>
      <c r="D84" s="176"/>
      <c r="E84" s="176"/>
      <c r="F84" s="123"/>
      <c r="G84" s="123"/>
      <c r="H84" s="123"/>
      <c r="I84" s="123"/>
      <c r="J84" s="174"/>
      <c r="K84" s="182"/>
      <c r="L84" s="123"/>
      <c r="M84" s="123"/>
      <c r="N84" s="123"/>
      <c r="O84" s="123"/>
      <c r="P84" s="123"/>
      <c r="Q84" s="123"/>
      <c r="R84" s="123"/>
      <c r="S84" s="123"/>
      <c r="T84" s="123"/>
      <c r="U84" s="123"/>
      <c r="V84" s="123"/>
      <c r="W84" s="123"/>
      <c r="X84" s="123"/>
      <c r="Y84" s="123"/>
    </row>
    <row r="85" spans="1:25" ht="15.75" customHeight="1" x14ac:dyDescent="0.2">
      <c r="A85" s="182"/>
      <c r="B85" s="175"/>
      <c r="C85" s="176"/>
      <c r="D85" s="176"/>
      <c r="E85" s="176"/>
      <c r="F85" s="123"/>
      <c r="G85" s="123"/>
      <c r="H85" s="123"/>
      <c r="I85" s="123"/>
      <c r="J85" s="174"/>
      <c r="K85" s="182"/>
      <c r="L85" s="123"/>
      <c r="M85" s="123"/>
      <c r="N85" s="123"/>
      <c r="O85" s="123"/>
      <c r="P85" s="123"/>
      <c r="Q85" s="123"/>
      <c r="R85" s="123"/>
      <c r="S85" s="123"/>
      <c r="T85" s="123"/>
      <c r="U85" s="123"/>
      <c r="V85" s="123"/>
      <c r="W85" s="123"/>
      <c r="X85" s="123"/>
      <c r="Y85" s="123"/>
    </row>
    <row r="86" spans="1:25" ht="15.75" customHeight="1" x14ac:dyDescent="0.2">
      <c r="A86" s="182"/>
      <c r="B86" s="175"/>
      <c r="C86" s="176"/>
      <c r="D86" s="176"/>
      <c r="E86" s="176"/>
      <c r="F86" s="123"/>
      <c r="G86" s="123"/>
      <c r="H86" s="123"/>
      <c r="I86" s="123"/>
      <c r="J86" s="174"/>
      <c r="K86" s="182"/>
      <c r="L86" s="123"/>
      <c r="M86" s="123"/>
      <c r="N86" s="123"/>
      <c r="O86" s="123"/>
      <c r="P86" s="123"/>
      <c r="Q86" s="123"/>
      <c r="R86" s="123"/>
      <c r="S86" s="123"/>
      <c r="T86" s="123"/>
      <c r="U86" s="123"/>
      <c r="V86" s="123"/>
      <c r="W86" s="123"/>
      <c r="X86" s="123"/>
      <c r="Y86" s="123"/>
    </row>
    <row r="87" spans="1:25" ht="15.75" customHeight="1" x14ac:dyDescent="0.2">
      <c r="A87" s="182"/>
      <c r="B87" s="175"/>
      <c r="C87" s="176"/>
      <c r="D87" s="176"/>
      <c r="E87" s="176"/>
      <c r="F87" s="123"/>
      <c r="G87" s="123"/>
      <c r="H87" s="123"/>
      <c r="I87" s="123"/>
      <c r="J87" s="174"/>
      <c r="K87" s="182"/>
      <c r="L87" s="123"/>
      <c r="M87" s="123"/>
      <c r="N87" s="123"/>
      <c r="O87" s="123"/>
      <c r="P87" s="123"/>
      <c r="Q87" s="123"/>
      <c r="R87" s="123"/>
      <c r="S87" s="123"/>
      <c r="T87" s="123"/>
      <c r="U87" s="123"/>
      <c r="V87" s="123"/>
      <c r="W87" s="123"/>
      <c r="X87" s="123"/>
      <c r="Y87" s="123"/>
    </row>
    <row r="88" spans="1:25" ht="15.75" customHeight="1" x14ac:dyDescent="0.2">
      <c r="A88" s="182"/>
      <c r="B88" s="175"/>
      <c r="C88" s="176"/>
      <c r="D88" s="176"/>
      <c r="E88" s="176"/>
      <c r="F88" s="123"/>
      <c r="G88" s="123"/>
      <c r="H88" s="123"/>
      <c r="I88" s="123"/>
      <c r="J88" s="174"/>
      <c r="K88" s="182"/>
      <c r="L88" s="123"/>
      <c r="M88" s="123"/>
      <c r="N88" s="123"/>
      <c r="O88" s="123"/>
      <c r="P88" s="123"/>
      <c r="Q88" s="123"/>
      <c r="R88" s="123"/>
      <c r="S88" s="123"/>
      <c r="T88" s="123"/>
      <c r="U88" s="123"/>
      <c r="V88" s="123"/>
      <c r="W88" s="123"/>
      <c r="X88" s="123"/>
      <c r="Y88" s="123"/>
    </row>
    <row r="89" spans="1:25" ht="15.75" customHeight="1" x14ac:dyDescent="0.2">
      <c r="A89" s="182"/>
      <c r="B89" s="175"/>
      <c r="C89" s="176"/>
      <c r="D89" s="176"/>
      <c r="E89" s="176"/>
      <c r="F89" s="123"/>
      <c r="G89" s="123"/>
      <c r="H89" s="123"/>
      <c r="I89" s="123"/>
      <c r="J89" s="174"/>
      <c r="K89" s="182"/>
      <c r="L89" s="123"/>
      <c r="M89" s="123"/>
      <c r="N89" s="123"/>
      <c r="O89" s="123"/>
      <c r="P89" s="123"/>
      <c r="Q89" s="123"/>
      <c r="R89" s="123"/>
      <c r="S89" s="123"/>
      <c r="T89" s="123"/>
      <c r="U89" s="123"/>
      <c r="V89" s="123"/>
      <c r="W89" s="123"/>
      <c r="X89" s="123"/>
      <c r="Y89" s="123"/>
    </row>
    <row r="90" spans="1:25" ht="15.75" customHeight="1" x14ac:dyDescent="0.2">
      <c r="A90" s="182"/>
      <c r="B90" s="175"/>
      <c r="C90" s="176"/>
      <c r="D90" s="176"/>
      <c r="E90" s="176"/>
      <c r="F90" s="123"/>
      <c r="G90" s="123"/>
      <c r="H90" s="123"/>
      <c r="I90" s="123"/>
      <c r="J90" s="174"/>
      <c r="K90" s="182"/>
      <c r="L90" s="123"/>
      <c r="M90" s="123"/>
      <c r="N90" s="123"/>
      <c r="O90" s="123"/>
      <c r="P90" s="123"/>
      <c r="Q90" s="123"/>
      <c r="R90" s="123"/>
      <c r="S90" s="123"/>
      <c r="T90" s="123"/>
      <c r="U90" s="123"/>
      <c r="V90" s="123"/>
      <c r="W90" s="123"/>
      <c r="X90" s="123"/>
      <c r="Y90" s="123"/>
    </row>
    <row r="91" spans="1:25" ht="15.75" customHeight="1" x14ac:dyDescent="0.2">
      <c r="A91" s="182"/>
      <c r="B91" s="175"/>
      <c r="C91" s="176"/>
      <c r="D91" s="176"/>
      <c r="E91" s="176"/>
      <c r="F91" s="123"/>
      <c r="G91" s="123"/>
      <c r="H91" s="123"/>
      <c r="I91" s="123"/>
      <c r="J91" s="174"/>
      <c r="K91" s="182"/>
      <c r="L91" s="123"/>
      <c r="M91" s="123"/>
      <c r="N91" s="123"/>
      <c r="O91" s="123"/>
      <c r="P91" s="123"/>
      <c r="Q91" s="123"/>
      <c r="R91" s="123"/>
      <c r="S91" s="123"/>
      <c r="T91" s="123"/>
      <c r="U91" s="123"/>
      <c r="V91" s="123"/>
      <c r="W91" s="123"/>
      <c r="X91" s="123"/>
      <c r="Y91" s="123"/>
    </row>
    <row r="92" spans="1:25" ht="15.75" customHeight="1" x14ac:dyDescent="0.2">
      <c r="A92" s="182"/>
      <c r="B92" s="175"/>
      <c r="C92" s="176"/>
      <c r="D92" s="176"/>
      <c r="E92" s="176"/>
      <c r="F92" s="123"/>
      <c r="G92" s="123"/>
      <c r="H92" s="123"/>
      <c r="I92" s="123"/>
      <c r="J92" s="174"/>
      <c r="K92" s="182"/>
      <c r="L92" s="123"/>
      <c r="M92" s="123"/>
      <c r="N92" s="123"/>
      <c r="O92" s="123"/>
      <c r="P92" s="123"/>
      <c r="Q92" s="123"/>
      <c r="R92" s="123"/>
      <c r="S92" s="123"/>
      <c r="T92" s="123"/>
      <c r="U92" s="123"/>
      <c r="V92" s="123"/>
      <c r="W92" s="123"/>
      <c r="X92" s="123"/>
      <c r="Y92" s="123"/>
    </row>
    <row r="93" spans="1:25" ht="15.75" customHeight="1" x14ac:dyDescent="0.2">
      <c r="A93" s="182"/>
      <c r="B93" s="175"/>
      <c r="C93" s="176"/>
      <c r="D93" s="176"/>
      <c r="E93" s="176"/>
      <c r="F93" s="123"/>
      <c r="G93" s="123"/>
      <c r="H93" s="123"/>
      <c r="I93" s="123"/>
      <c r="J93" s="174"/>
      <c r="K93" s="182"/>
      <c r="L93" s="123"/>
      <c r="M93" s="123"/>
      <c r="N93" s="123"/>
      <c r="O93" s="123"/>
      <c r="P93" s="123"/>
      <c r="Q93" s="123"/>
      <c r="R93" s="123"/>
      <c r="S93" s="123"/>
      <c r="T93" s="123"/>
      <c r="U93" s="123"/>
      <c r="V93" s="123"/>
      <c r="W93" s="123"/>
      <c r="X93" s="123"/>
      <c r="Y93" s="123"/>
    </row>
    <row r="94" spans="1:25" ht="15.75" customHeight="1" x14ac:dyDescent="0.2">
      <c r="A94" s="182"/>
      <c r="B94" s="175"/>
      <c r="C94" s="176"/>
      <c r="D94" s="176"/>
      <c r="E94" s="176"/>
      <c r="F94" s="123"/>
      <c r="G94" s="123"/>
      <c r="H94" s="123"/>
      <c r="I94" s="123"/>
      <c r="J94" s="174"/>
      <c r="K94" s="182"/>
      <c r="L94" s="123"/>
      <c r="M94" s="123"/>
      <c r="N94" s="123"/>
      <c r="O94" s="123"/>
      <c r="P94" s="123"/>
      <c r="Q94" s="123"/>
      <c r="R94" s="123"/>
      <c r="S94" s="123"/>
      <c r="T94" s="123"/>
      <c r="U94" s="123"/>
      <c r="V94" s="123"/>
      <c r="W94" s="123"/>
      <c r="X94" s="123"/>
      <c r="Y94" s="123"/>
    </row>
    <row r="95" spans="1:25" ht="15.75" customHeight="1" x14ac:dyDescent="0.2">
      <c r="A95" s="182"/>
      <c r="B95" s="175"/>
      <c r="C95" s="176"/>
      <c r="D95" s="176"/>
      <c r="E95" s="176"/>
      <c r="F95" s="123"/>
      <c r="G95" s="123"/>
      <c r="H95" s="123"/>
      <c r="I95" s="123"/>
      <c r="J95" s="174"/>
      <c r="K95" s="182"/>
      <c r="L95" s="123"/>
      <c r="M95" s="123"/>
      <c r="N95" s="123"/>
      <c r="O95" s="123"/>
      <c r="P95" s="123"/>
      <c r="Q95" s="123"/>
      <c r="R95" s="123"/>
      <c r="S95" s="123"/>
      <c r="T95" s="123"/>
      <c r="U95" s="123"/>
      <c r="V95" s="123"/>
      <c r="W95" s="123"/>
      <c r="X95" s="123"/>
      <c r="Y95" s="123"/>
    </row>
    <row r="96" spans="1:25" ht="15.75" customHeight="1" x14ac:dyDescent="0.2">
      <c r="A96" s="182"/>
      <c r="B96" s="175"/>
      <c r="C96" s="176"/>
      <c r="D96" s="176"/>
      <c r="E96" s="176"/>
      <c r="F96" s="123"/>
      <c r="G96" s="123"/>
      <c r="H96" s="123"/>
      <c r="I96" s="123"/>
      <c r="J96" s="174"/>
      <c r="K96" s="182"/>
      <c r="L96" s="123"/>
      <c r="M96" s="123"/>
      <c r="N96" s="123"/>
      <c r="O96" s="123"/>
      <c r="P96" s="123"/>
      <c r="Q96" s="123"/>
      <c r="R96" s="123"/>
      <c r="S96" s="123"/>
      <c r="T96" s="123"/>
      <c r="U96" s="123"/>
      <c r="V96" s="123"/>
      <c r="W96" s="123"/>
      <c r="X96" s="123"/>
      <c r="Y96" s="123"/>
    </row>
    <row r="97" spans="1:25" ht="15.75" customHeight="1" x14ac:dyDescent="0.2">
      <c r="A97" s="182"/>
      <c r="B97" s="175"/>
      <c r="C97" s="176"/>
      <c r="D97" s="176"/>
      <c r="E97" s="176"/>
      <c r="F97" s="123"/>
      <c r="G97" s="123"/>
      <c r="H97" s="123"/>
      <c r="I97" s="123"/>
      <c r="J97" s="174"/>
      <c r="K97" s="182"/>
      <c r="L97" s="123"/>
      <c r="M97" s="123"/>
      <c r="N97" s="123"/>
      <c r="O97" s="123"/>
      <c r="P97" s="123"/>
      <c r="Q97" s="123"/>
      <c r="R97" s="123"/>
      <c r="S97" s="123"/>
      <c r="T97" s="123"/>
      <c r="U97" s="123"/>
      <c r="V97" s="123"/>
      <c r="W97" s="123"/>
      <c r="X97" s="123"/>
      <c r="Y97" s="123"/>
    </row>
    <row r="98" spans="1:25" ht="15.75" customHeight="1" x14ac:dyDescent="0.2">
      <c r="A98" s="182"/>
      <c r="B98" s="175"/>
      <c r="C98" s="176"/>
      <c r="D98" s="176"/>
      <c r="E98" s="176"/>
      <c r="F98" s="123"/>
      <c r="G98" s="123"/>
      <c r="H98" s="123"/>
      <c r="I98" s="123"/>
      <c r="J98" s="174"/>
      <c r="K98" s="182"/>
      <c r="L98" s="123"/>
      <c r="M98" s="123"/>
      <c r="N98" s="123"/>
      <c r="O98" s="123"/>
      <c r="P98" s="123"/>
      <c r="Q98" s="123"/>
      <c r="R98" s="123"/>
      <c r="S98" s="123"/>
      <c r="T98" s="123"/>
      <c r="U98" s="123"/>
      <c r="V98" s="123"/>
      <c r="W98" s="123"/>
      <c r="X98" s="123"/>
      <c r="Y98" s="123"/>
    </row>
    <row r="99" spans="1:25" ht="15.75" customHeight="1" x14ac:dyDescent="0.2">
      <c r="A99" s="182"/>
      <c r="B99" s="175"/>
      <c r="C99" s="176"/>
      <c r="D99" s="176"/>
      <c r="E99" s="176"/>
      <c r="F99" s="123"/>
      <c r="G99" s="123"/>
      <c r="H99" s="123"/>
      <c r="I99" s="123"/>
      <c r="J99" s="174"/>
      <c r="K99" s="182"/>
      <c r="L99" s="123"/>
      <c r="M99" s="123"/>
      <c r="N99" s="123"/>
      <c r="O99" s="123"/>
      <c r="P99" s="123"/>
      <c r="Q99" s="123"/>
      <c r="R99" s="123"/>
      <c r="S99" s="123"/>
      <c r="T99" s="123"/>
      <c r="U99" s="123"/>
      <c r="V99" s="123"/>
      <c r="W99" s="123"/>
      <c r="X99" s="123"/>
      <c r="Y99" s="123"/>
    </row>
    <row r="100" spans="1:25" ht="15.75" customHeight="1" x14ac:dyDescent="0.2">
      <c r="A100" s="182"/>
      <c r="B100" s="175"/>
      <c r="C100" s="176"/>
      <c r="D100" s="176"/>
      <c r="E100" s="176"/>
      <c r="F100" s="123"/>
      <c r="G100" s="123"/>
      <c r="H100" s="123"/>
      <c r="I100" s="123"/>
      <c r="J100" s="174"/>
      <c r="K100" s="182"/>
      <c r="L100" s="123"/>
      <c r="M100" s="123"/>
      <c r="N100" s="123"/>
      <c r="O100" s="123"/>
      <c r="P100" s="123"/>
      <c r="Q100" s="123"/>
      <c r="R100" s="123"/>
      <c r="S100" s="123"/>
      <c r="T100" s="123"/>
      <c r="U100" s="123"/>
      <c r="V100" s="123"/>
      <c r="W100" s="123"/>
      <c r="X100" s="123"/>
      <c r="Y100" s="123"/>
    </row>
    <row r="101" spans="1:25" ht="15.75" customHeight="1" x14ac:dyDescent="0.2">
      <c r="A101" s="182"/>
      <c r="B101" s="175"/>
      <c r="C101" s="176"/>
      <c r="D101" s="176"/>
      <c r="E101" s="176"/>
      <c r="F101" s="123"/>
      <c r="G101" s="123"/>
      <c r="H101" s="123"/>
      <c r="I101" s="123"/>
      <c r="J101" s="174"/>
      <c r="K101" s="182"/>
      <c r="L101" s="123"/>
      <c r="M101" s="123"/>
      <c r="N101" s="123"/>
      <c r="O101" s="123"/>
      <c r="P101" s="123"/>
      <c r="Q101" s="123"/>
      <c r="R101" s="123"/>
      <c r="S101" s="123"/>
      <c r="T101" s="123"/>
      <c r="U101" s="123"/>
      <c r="V101" s="123"/>
      <c r="W101" s="123"/>
      <c r="X101" s="123"/>
      <c r="Y101" s="123"/>
    </row>
    <row r="102" spans="1:25" ht="15.75" customHeight="1" x14ac:dyDescent="0.2">
      <c r="A102" s="182"/>
      <c r="B102" s="175"/>
      <c r="C102" s="176"/>
      <c r="D102" s="176"/>
      <c r="E102" s="176"/>
      <c r="F102" s="123"/>
      <c r="G102" s="123"/>
      <c r="H102" s="123"/>
      <c r="I102" s="123"/>
      <c r="J102" s="174"/>
      <c r="K102" s="182"/>
      <c r="L102" s="123"/>
      <c r="M102" s="123"/>
      <c r="N102" s="123"/>
      <c r="O102" s="123"/>
      <c r="P102" s="123"/>
      <c r="Q102" s="123"/>
      <c r="R102" s="123"/>
      <c r="S102" s="123"/>
      <c r="T102" s="123"/>
      <c r="U102" s="123"/>
      <c r="V102" s="123"/>
      <c r="W102" s="123"/>
      <c r="X102" s="123"/>
      <c r="Y102" s="123"/>
    </row>
    <row r="103" spans="1:25" ht="15.75" customHeight="1" x14ac:dyDescent="0.2">
      <c r="A103" s="182"/>
      <c r="B103" s="175"/>
      <c r="C103" s="176"/>
      <c r="D103" s="176"/>
      <c r="E103" s="176"/>
      <c r="F103" s="123"/>
      <c r="G103" s="123"/>
      <c r="H103" s="123"/>
      <c r="I103" s="123"/>
      <c r="J103" s="174"/>
      <c r="K103" s="182"/>
      <c r="L103" s="123"/>
      <c r="M103" s="123"/>
      <c r="N103" s="123"/>
      <c r="O103" s="123"/>
      <c r="P103" s="123"/>
      <c r="Q103" s="123"/>
      <c r="R103" s="123"/>
      <c r="S103" s="123"/>
      <c r="T103" s="123"/>
      <c r="U103" s="123"/>
      <c r="V103" s="123"/>
      <c r="W103" s="123"/>
      <c r="X103" s="123"/>
      <c r="Y103" s="123"/>
    </row>
    <row r="104" spans="1:25" ht="15.75" customHeight="1" x14ac:dyDescent="0.2">
      <c r="A104" s="182"/>
      <c r="B104" s="175"/>
      <c r="C104" s="176"/>
      <c r="D104" s="176"/>
      <c r="E104" s="176"/>
      <c r="F104" s="123"/>
      <c r="G104" s="123"/>
      <c r="H104" s="123"/>
      <c r="I104" s="123"/>
      <c r="J104" s="174"/>
      <c r="K104" s="182"/>
      <c r="L104" s="123"/>
      <c r="M104" s="123"/>
      <c r="N104" s="123"/>
      <c r="O104" s="123"/>
      <c r="P104" s="123"/>
      <c r="Q104" s="123"/>
      <c r="R104" s="123"/>
      <c r="S104" s="123"/>
      <c r="T104" s="123"/>
      <c r="U104" s="123"/>
      <c r="V104" s="123"/>
      <c r="W104" s="123"/>
      <c r="X104" s="123"/>
      <c r="Y104" s="123"/>
    </row>
    <row r="105" spans="1:25" ht="15.75" customHeight="1" x14ac:dyDescent="0.2">
      <c r="A105" s="182"/>
      <c r="B105" s="175"/>
      <c r="C105" s="176"/>
      <c r="D105" s="176"/>
      <c r="E105" s="176"/>
      <c r="F105" s="123"/>
      <c r="G105" s="123"/>
      <c r="H105" s="123"/>
      <c r="I105" s="123"/>
      <c r="J105" s="174"/>
      <c r="K105" s="182"/>
      <c r="L105" s="123"/>
      <c r="M105" s="123"/>
      <c r="N105" s="123"/>
      <c r="O105" s="123"/>
      <c r="P105" s="123"/>
      <c r="Q105" s="123"/>
      <c r="R105" s="123"/>
      <c r="S105" s="123"/>
      <c r="T105" s="123"/>
      <c r="U105" s="123"/>
      <c r="V105" s="123"/>
      <c r="W105" s="123"/>
      <c r="X105" s="123"/>
      <c r="Y105" s="123"/>
    </row>
    <row r="106" spans="1:25" ht="15.75" customHeight="1" x14ac:dyDescent="0.2">
      <c r="A106" s="182"/>
      <c r="B106" s="175"/>
      <c r="C106" s="176"/>
      <c r="D106" s="176"/>
      <c r="E106" s="176"/>
      <c r="F106" s="123"/>
      <c r="G106" s="123"/>
      <c r="H106" s="123"/>
      <c r="I106" s="123"/>
      <c r="J106" s="174"/>
      <c r="K106" s="182"/>
      <c r="L106" s="123"/>
      <c r="M106" s="123"/>
      <c r="N106" s="123"/>
      <c r="O106" s="123"/>
      <c r="P106" s="123"/>
      <c r="Q106" s="123"/>
      <c r="R106" s="123"/>
      <c r="S106" s="123"/>
      <c r="T106" s="123"/>
      <c r="U106" s="123"/>
      <c r="V106" s="123"/>
      <c r="W106" s="123"/>
      <c r="X106" s="123"/>
      <c r="Y106" s="123"/>
    </row>
    <row r="107" spans="1:25" ht="15.75" customHeight="1" x14ac:dyDescent="0.2">
      <c r="A107" s="182"/>
      <c r="B107" s="175"/>
      <c r="C107" s="176"/>
      <c r="D107" s="176"/>
      <c r="E107" s="176"/>
      <c r="F107" s="123"/>
      <c r="G107" s="123"/>
      <c r="H107" s="123"/>
      <c r="I107" s="123"/>
      <c r="J107" s="174"/>
      <c r="K107" s="182"/>
      <c r="L107" s="123"/>
      <c r="M107" s="123"/>
      <c r="N107" s="123"/>
      <c r="O107" s="123"/>
      <c r="P107" s="123"/>
      <c r="Q107" s="123"/>
      <c r="R107" s="123"/>
      <c r="S107" s="123"/>
      <c r="T107" s="123"/>
      <c r="U107" s="123"/>
      <c r="V107" s="123"/>
      <c r="W107" s="123"/>
      <c r="X107" s="123"/>
      <c r="Y107" s="123"/>
    </row>
    <row r="108" spans="1:25" ht="15.75" customHeight="1" x14ac:dyDescent="0.2">
      <c r="A108" s="182"/>
      <c r="B108" s="175"/>
      <c r="C108" s="176"/>
      <c r="D108" s="176"/>
      <c r="E108" s="176"/>
      <c r="F108" s="123"/>
      <c r="G108" s="123"/>
      <c r="H108" s="123"/>
      <c r="I108" s="123"/>
      <c r="J108" s="174"/>
      <c r="K108" s="182"/>
      <c r="L108" s="123"/>
      <c r="M108" s="123"/>
      <c r="N108" s="123"/>
      <c r="O108" s="123"/>
      <c r="P108" s="123"/>
      <c r="Q108" s="123"/>
      <c r="R108" s="123"/>
      <c r="S108" s="123"/>
      <c r="T108" s="123"/>
      <c r="U108" s="123"/>
      <c r="V108" s="123"/>
      <c r="W108" s="123"/>
      <c r="X108" s="123"/>
      <c r="Y108" s="123"/>
    </row>
    <row r="109" spans="1:25" ht="15.75" customHeight="1" x14ac:dyDescent="0.2">
      <c r="A109" s="182"/>
      <c r="B109" s="175"/>
      <c r="C109" s="176"/>
      <c r="D109" s="176"/>
      <c r="E109" s="176"/>
      <c r="F109" s="123"/>
      <c r="G109" s="123"/>
      <c r="H109" s="123"/>
      <c r="I109" s="123"/>
      <c r="J109" s="174"/>
      <c r="K109" s="182"/>
      <c r="L109" s="123"/>
      <c r="M109" s="123"/>
      <c r="N109" s="123"/>
      <c r="O109" s="123"/>
      <c r="P109" s="123"/>
      <c r="Q109" s="123"/>
      <c r="R109" s="123"/>
      <c r="S109" s="123"/>
      <c r="T109" s="123"/>
      <c r="U109" s="123"/>
      <c r="V109" s="123"/>
      <c r="W109" s="123"/>
      <c r="X109" s="123"/>
      <c r="Y109" s="123"/>
    </row>
    <row r="110" spans="1:25" ht="15.75" customHeight="1" x14ac:dyDescent="0.2">
      <c r="A110" s="182"/>
      <c r="B110" s="175"/>
      <c r="C110" s="176"/>
      <c r="D110" s="176"/>
      <c r="E110" s="176"/>
      <c r="F110" s="123"/>
      <c r="G110" s="123"/>
      <c r="H110" s="123"/>
      <c r="I110" s="123"/>
      <c r="J110" s="174"/>
      <c r="K110" s="182"/>
      <c r="L110" s="123"/>
      <c r="M110" s="123"/>
      <c r="N110" s="123"/>
      <c r="O110" s="123"/>
      <c r="P110" s="123"/>
      <c r="Q110" s="123"/>
      <c r="R110" s="123"/>
      <c r="S110" s="123"/>
      <c r="T110" s="123"/>
      <c r="U110" s="123"/>
      <c r="V110" s="123"/>
      <c r="W110" s="123"/>
      <c r="X110" s="123"/>
      <c r="Y110" s="123"/>
    </row>
    <row r="111" spans="1:25" ht="15.75" customHeight="1" x14ac:dyDescent="0.2">
      <c r="A111" s="182"/>
      <c r="B111" s="175"/>
      <c r="C111" s="176"/>
      <c r="D111" s="176"/>
      <c r="E111" s="176"/>
      <c r="F111" s="123"/>
      <c r="G111" s="123"/>
      <c r="H111" s="123"/>
      <c r="I111" s="123"/>
      <c r="J111" s="174"/>
      <c r="K111" s="182"/>
      <c r="L111" s="123"/>
      <c r="M111" s="123"/>
      <c r="N111" s="123"/>
      <c r="O111" s="123"/>
      <c r="P111" s="123"/>
      <c r="Q111" s="123"/>
      <c r="R111" s="123"/>
      <c r="S111" s="123"/>
      <c r="T111" s="123"/>
      <c r="U111" s="123"/>
      <c r="V111" s="123"/>
      <c r="W111" s="123"/>
      <c r="X111" s="123"/>
      <c r="Y111" s="123"/>
    </row>
    <row r="112" spans="1:25" ht="15.75" customHeight="1" x14ac:dyDescent="0.2">
      <c r="A112" s="182"/>
      <c r="B112" s="175"/>
      <c r="C112" s="176"/>
      <c r="D112" s="176"/>
      <c r="E112" s="176"/>
      <c r="F112" s="123"/>
      <c r="G112" s="123"/>
      <c r="H112" s="123"/>
      <c r="I112" s="123"/>
      <c r="J112" s="174"/>
      <c r="K112" s="182"/>
      <c r="L112" s="123"/>
      <c r="M112" s="123"/>
      <c r="N112" s="123"/>
      <c r="O112" s="123"/>
      <c r="P112" s="123"/>
      <c r="Q112" s="123"/>
      <c r="R112" s="123"/>
      <c r="S112" s="123"/>
      <c r="T112" s="123"/>
      <c r="U112" s="123"/>
      <c r="V112" s="123"/>
      <c r="W112" s="123"/>
      <c r="X112" s="123"/>
      <c r="Y112" s="123"/>
    </row>
    <row r="113" spans="1:25" ht="15.75" customHeight="1" x14ac:dyDescent="0.2">
      <c r="A113" s="182"/>
      <c r="B113" s="175"/>
      <c r="C113" s="176"/>
      <c r="D113" s="176"/>
      <c r="E113" s="176"/>
      <c r="F113" s="123"/>
      <c r="G113" s="123"/>
      <c r="H113" s="123"/>
      <c r="I113" s="123"/>
      <c r="J113" s="174"/>
      <c r="K113" s="182"/>
      <c r="L113" s="123"/>
      <c r="M113" s="123"/>
      <c r="N113" s="123"/>
      <c r="O113" s="123"/>
      <c r="P113" s="123"/>
      <c r="Q113" s="123"/>
      <c r="R113" s="123"/>
      <c r="S113" s="123"/>
      <c r="T113" s="123"/>
      <c r="U113" s="123"/>
      <c r="V113" s="123"/>
      <c r="W113" s="123"/>
      <c r="X113" s="123"/>
      <c r="Y113" s="123"/>
    </row>
    <row r="114" spans="1:25" ht="15.75" customHeight="1" x14ac:dyDescent="0.2">
      <c r="A114" s="182"/>
      <c r="B114" s="175"/>
      <c r="C114" s="176"/>
      <c r="D114" s="176"/>
      <c r="E114" s="176"/>
      <c r="F114" s="123"/>
      <c r="G114" s="123"/>
      <c r="H114" s="123"/>
      <c r="I114" s="123"/>
      <c r="J114" s="174"/>
      <c r="K114" s="182"/>
      <c r="L114" s="123"/>
      <c r="M114" s="123"/>
      <c r="N114" s="123"/>
      <c r="O114" s="123"/>
      <c r="P114" s="123"/>
      <c r="Q114" s="123"/>
      <c r="R114" s="123"/>
      <c r="S114" s="123"/>
      <c r="T114" s="123"/>
      <c r="U114" s="123"/>
      <c r="V114" s="123"/>
      <c r="W114" s="123"/>
      <c r="X114" s="123"/>
      <c r="Y114" s="123"/>
    </row>
    <row r="115" spans="1:25" ht="15.75" customHeight="1" x14ac:dyDescent="0.2">
      <c r="A115" s="182"/>
      <c r="B115" s="175"/>
      <c r="C115" s="176"/>
      <c r="D115" s="176"/>
      <c r="E115" s="176"/>
      <c r="F115" s="123"/>
      <c r="G115" s="123"/>
      <c r="H115" s="123"/>
      <c r="I115" s="123"/>
      <c r="J115" s="174"/>
      <c r="K115" s="182"/>
      <c r="L115" s="123"/>
      <c r="M115" s="123"/>
      <c r="N115" s="123"/>
      <c r="O115" s="123"/>
      <c r="P115" s="123"/>
      <c r="Q115" s="123"/>
      <c r="R115" s="123"/>
      <c r="S115" s="123"/>
      <c r="T115" s="123"/>
      <c r="U115" s="123"/>
      <c r="V115" s="123"/>
      <c r="W115" s="123"/>
      <c r="X115" s="123"/>
      <c r="Y115" s="123"/>
    </row>
    <row r="116" spans="1:25" ht="15.75" customHeight="1" x14ac:dyDescent="0.2">
      <c r="A116" s="182"/>
      <c r="B116" s="175"/>
      <c r="C116" s="176"/>
      <c r="D116" s="176"/>
      <c r="E116" s="176"/>
      <c r="F116" s="123"/>
      <c r="G116" s="123"/>
      <c r="H116" s="123"/>
      <c r="I116" s="123"/>
      <c r="J116" s="174"/>
      <c r="K116" s="182"/>
      <c r="L116" s="123"/>
      <c r="M116" s="123"/>
      <c r="N116" s="123"/>
      <c r="O116" s="123"/>
      <c r="P116" s="123"/>
      <c r="Q116" s="123"/>
      <c r="R116" s="123"/>
      <c r="S116" s="123"/>
      <c r="T116" s="123"/>
      <c r="U116" s="123"/>
      <c r="V116" s="123"/>
      <c r="W116" s="123"/>
      <c r="X116" s="123"/>
      <c r="Y116" s="123"/>
    </row>
    <row r="117" spans="1:25" ht="15.75" customHeight="1" x14ac:dyDescent="0.2">
      <c r="A117" s="182"/>
      <c r="B117" s="175"/>
      <c r="C117" s="176"/>
      <c r="D117" s="176"/>
      <c r="E117" s="176"/>
      <c r="F117" s="123"/>
      <c r="G117" s="123"/>
      <c r="H117" s="123"/>
      <c r="I117" s="123"/>
      <c r="J117" s="174"/>
      <c r="K117" s="182"/>
      <c r="L117" s="123"/>
      <c r="M117" s="123"/>
      <c r="N117" s="123"/>
      <c r="O117" s="123"/>
      <c r="P117" s="123"/>
      <c r="Q117" s="123"/>
      <c r="R117" s="123"/>
      <c r="S117" s="123"/>
      <c r="T117" s="123"/>
      <c r="U117" s="123"/>
      <c r="V117" s="123"/>
      <c r="W117" s="123"/>
      <c r="X117" s="123"/>
      <c r="Y117" s="123"/>
    </row>
    <row r="118" spans="1:25" ht="15.75" customHeight="1" x14ac:dyDescent="0.2">
      <c r="A118" s="182"/>
      <c r="B118" s="175"/>
      <c r="C118" s="176"/>
      <c r="D118" s="176"/>
      <c r="E118" s="176"/>
      <c r="F118" s="123"/>
      <c r="G118" s="123"/>
      <c r="H118" s="123"/>
      <c r="I118" s="123"/>
      <c r="J118" s="174"/>
      <c r="K118" s="182"/>
      <c r="L118" s="123"/>
      <c r="M118" s="123"/>
      <c r="N118" s="123"/>
      <c r="O118" s="123"/>
      <c r="P118" s="123"/>
      <c r="Q118" s="123"/>
      <c r="R118" s="123"/>
      <c r="S118" s="123"/>
      <c r="T118" s="123"/>
      <c r="U118" s="123"/>
      <c r="V118" s="123"/>
      <c r="W118" s="123"/>
      <c r="X118" s="123"/>
      <c r="Y118" s="123"/>
    </row>
    <row r="119" spans="1:25" ht="15.75" customHeight="1" x14ac:dyDescent="0.2">
      <c r="A119" s="182"/>
      <c r="B119" s="175"/>
      <c r="C119" s="176"/>
      <c r="D119" s="176"/>
      <c r="E119" s="176"/>
      <c r="F119" s="123"/>
      <c r="G119" s="123"/>
      <c r="H119" s="123"/>
      <c r="I119" s="123"/>
      <c r="J119" s="174"/>
      <c r="K119" s="182"/>
      <c r="L119" s="123"/>
      <c r="M119" s="123"/>
      <c r="N119" s="123"/>
      <c r="O119" s="123"/>
      <c r="P119" s="123"/>
      <c r="Q119" s="123"/>
      <c r="R119" s="123"/>
      <c r="S119" s="123"/>
      <c r="T119" s="123"/>
      <c r="U119" s="123"/>
      <c r="V119" s="123"/>
      <c r="W119" s="123"/>
      <c r="X119" s="123"/>
      <c r="Y119" s="123"/>
    </row>
    <row r="120" spans="1:25" ht="15.75" customHeight="1" x14ac:dyDescent="0.2">
      <c r="A120" s="182"/>
      <c r="B120" s="175"/>
      <c r="C120" s="176"/>
      <c r="D120" s="176"/>
      <c r="E120" s="176"/>
      <c r="F120" s="123"/>
      <c r="G120" s="123"/>
      <c r="H120" s="123"/>
      <c r="I120" s="123"/>
      <c r="J120" s="174"/>
      <c r="K120" s="182"/>
      <c r="L120" s="123"/>
      <c r="M120" s="123"/>
      <c r="N120" s="123"/>
      <c r="O120" s="123"/>
      <c r="P120" s="123"/>
      <c r="Q120" s="123"/>
      <c r="R120" s="123"/>
      <c r="S120" s="123"/>
      <c r="T120" s="123"/>
      <c r="U120" s="123"/>
      <c r="V120" s="123"/>
      <c r="W120" s="123"/>
      <c r="X120" s="123"/>
      <c r="Y120" s="123"/>
    </row>
    <row r="121" spans="1:25" ht="15.75" customHeight="1" x14ac:dyDescent="0.2">
      <c r="A121" s="182"/>
      <c r="B121" s="175"/>
      <c r="C121" s="176"/>
      <c r="D121" s="176"/>
      <c r="E121" s="176"/>
      <c r="F121" s="123"/>
      <c r="G121" s="123"/>
      <c r="H121" s="123"/>
      <c r="I121" s="123"/>
      <c r="J121" s="174"/>
      <c r="K121" s="182"/>
      <c r="L121" s="123"/>
      <c r="M121" s="123"/>
      <c r="N121" s="123"/>
      <c r="O121" s="123"/>
      <c r="P121" s="123"/>
      <c r="Q121" s="123"/>
      <c r="R121" s="123"/>
      <c r="S121" s="123"/>
      <c r="T121" s="123"/>
      <c r="U121" s="123"/>
      <c r="V121" s="123"/>
      <c r="W121" s="123"/>
      <c r="X121" s="123"/>
      <c r="Y121" s="123"/>
    </row>
    <row r="122" spans="1:25" ht="15.75" customHeight="1" x14ac:dyDescent="0.2">
      <c r="A122" s="182"/>
      <c r="B122" s="175"/>
      <c r="C122" s="176"/>
      <c r="D122" s="176"/>
      <c r="E122" s="176"/>
      <c r="F122" s="123"/>
      <c r="G122" s="123"/>
      <c r="H122" s="123"/>
      <c r="I122" s="123"/>
      <c r="J122" s="174"/>
      <c r="K122" s="182"/>
      <c r="L122" s="123"/>
      <c r="M122" s="123"/>
      <c r="N122" s="123"/>
      <c r="O122" s="123"/>
      <c r="P122" s="123"/>
      <c r="Q122" s="123"/>
      <c r="R122" s="123"/>
      <c r="S122" s="123"/>
      <c r="T122" s="123"/>
      <c r="U122" s="123"/>
      <c r="V122" s="123"/>
      <c r="W122" s="123"/>
      <c r="X122" s="123"/>
      <c r="Y122" s="123"/>
    </row>
    <row r="123" spans="1:25" ht="15.75" customHeight="1" x14ac:dyDescent="0.2">
      <c r="A123" s="182"/>
      <c r="B123" s="175"/>
      <c r="C123" s="176"/>
      <c r="D123" s="176"/>
      <c r="E123" s="176"/>
      <c r="F123" s="123"/>
      <c r="G123" s="123"/>
      <c r="H123" s="123"/>
      <c r="I123" s="123"/>
      <c r="J123" s="174"/>
      <c r="K123" s="182"/>
      <c r="L123" s="123"/>
      <c r="M123" s="123"/>
      <c r="N123" s="123"/>
      <c r="O123" s="123"/>
      <c r="P123" s="123"/>
      <c r="Q123" s="123"/>
      <c r="R123" s="123"/>
      <c r="S123" s="123"/>
      <c r="T123" s="123"/>
      <c r="U123" s="123"/>
      <c r="V123" s="123"/>
      <c r="W123" s="123"/>
      <c r="X123" s="123"/>
      <c r="Y123" s="123"/>
    </row>
    <row r="124" spans="1:25" ht="15.75" customHeight="1" x14ac:dyDescent="0.2">
      <c r="A124" s="182"/>
      <c r="B124" s="175"/>
      <c r="C124" s="176"/>
      <c r="D124" s="176"/>
      <c r="E124" s="176"/>
      <c r="F124" s="123"/>
      <c r="G124" s="123"/>
      <c r="H124" s="123"/>
      <c r="I124" s="123"/>
      <c r="J124" s="174"/>
      <c r="K124" s="182"/>
      <c r="L124" s="123"/>
      <c r="M124" s="123"/>
      <c r="N124" s="123"/>
      <c r="O124" s="123"/>
      <c r="P124" s="123"/>
      <c r="Q124" s="123"/>
      <c r="R124" s="123"/>
      <c r="S124" s="123"/>
      <c r="T124" s="123"/>
      <c r="U124" s="123"/>
      <c r="V124" s="123"/>
      <c r="W124" s="123"/>
      <c r="X124" s="123"/>
      <c r="Y124" s="123"/>
    </row>
    <row r="125" spans="1:25" ht="15.75" customHeight="1" x14ac:dyDescent="0.2">
      <c r="A125" s="182"/>
      <c r="B125" s="175"/>
      <c r="C125" s="176"/>
      <c r="D125" s="176"/>
      <c r="E125" s="176"/>
      <c r="F125" s="123"/>
      <c r="G125" s="123"/>
      <c r="H125" s="123"/>
      <c r="I125" s="123"/>
      <c r="J125" s="174"/>
      <c r="K125" s="182"/>
      <c r="L125" s="123"/>
      <c r="M125" s="123"/>
      <c r="N125" s="123"/>
      <c r="O125" s="123"/>
      <c r="P125" s="123"/>
      <c r="Q125" s="123"/>
      <c r="R125" s="123"/>
      <c r="S125" s="123"/>
      <c r="T125" s="123"/>
      <c r="U125" s="123"/>
      <c r="V125" s="123"/>
      <c r="W125" s="123"/>
      <c r="X125" s="123"/>
      <c r="Y125" s="123"/>
    </row>
    <row r="126" spans="1:25" ht="15.75" customHeight="1" x14ac:dyDescent="0.2">
      <c r="A126" s="182"/>
      <c r="B126" s="175"/>
      <c r="C126" s="176"/>
      <c r="D126" s="176"/>
      <c r="E126" s="176"/>
      <c r="F126" s="123"/>
      <c r="G126" s="123"/>
      <c r="H126" s="123"/>
      <c r="I126" s="123"/>
      <c r="J126" s="174"/>
      <c r="K126" s="182"/>
      <c r="L126" s="123"/>
      <c r="M126" s="123"/>
      <c r="N126" s="123"/>
      <c r="O126" s="123"/>
      <c r="P126" s="123"/>
      <c r="Q126" s="123"/>
      <c r="R126" s="123"/>
      <c r="S126" s="123"/>
      <c r="T126" s="123"/>
      <c r="U126" s="123"/>
      <c r="V126" s="123"/>
      <c r="W126" s="123"/>
      <c r="X126" s="123"/>
      <c r="Y126" s="123"/>
    </row>
    <row r="127" spans="1:25" ht="15.75" customHeight="1" x14ac:dyDescent="0.2">
      <c r="A127" s="182"/>
      <c r="B127" s="175"/>
      <c r="C127" s="176"/>
      <c r="D127" s="176"/>
      <c r="E127" s="176"/>
      <c r="F127" s="123"/>
      <c r="G127" s="123"/>
      <c r="H127" s="123"/>
      <c r="I127" s="123"/>
      <c r="J127" s="174"/>
      <c r="K127" s="182"/>
      <c r="L127" s="123"/>
      <c r="M127" s="123"/>
      <c r="N127" s="123"/>
      <c r="O127" s="123"/>
      <c r="P127" s="123"/>
      <c r="Q127" s="123"/>
      <c r="R127" s="123"/>
      <c r="S127" s="123"/>
      <c r="T127" s="123"/>
      <c r="U127" s="123"/>
      <c r="V127" s="123"/>
      <c r="W127" s="123"/>
      <c r="X127" s="123"/>
      <c r="Y127" s="123"/>
    </row>
    <row r="128" spans="1:25" ht="15.75" customHeight="1" x14ac:dyDescent="0.2">
      <c r="A128" s="182"/>
      <c r="B128" s="175"/>
      <c r="C128" s="176"/>
      <c r="D128" s="176"/>
      <c r="E128" s="176"/>
      <c r="F128" s="123"/>
      <c r="G128" s="123"/>
      <c r="H128" s="123"/>
      <c r="I128" s="123"/>
      <c r="J128" s="174"/>
      <c r="K128" s="182"/>
      <c r="L128" s="123"/>
      <c r="M128" s="123"/>
      <c r="N128" s="123"/>
      <c r="O128" s="123"/>
      <c r="P128" s="123"/>
      <c r="Q128" s="123"/>
      <c r="R128" s="123"/>
      <c r="S128" s="123"/>
      <c r="T128" s="123"/>
      <c r="U128" s="123"/>
      <c r="V128" s="123"/>
      <c r="W128" s="123"/>
      <c r="X128" s="123"/>
      <c r="Y128" s="123"/>
    </row>
    <row r="129" spans="1:25" ht="15.75" customHeight="1" x14ac:dyDescent="0.2">
      <c r="A129" s="182"/>
      <c r="B129" s="175"/>
      <c r="C129" s="176"/>
      <c r="D129" s="176"/>
      <c r="E129" s="176"/>
      <c r="F129" s="123"/>
      <c r="G129" s="123"/>
      <c r="H129" s="123"/>
      <c r="I129" s="123"/>
      <c r="J129" s="174"/>
      <c r="K129" s="182"/>
      <c r="L129" s="123"/>
      <c r="M129" s="123"/>
      <c r="N129" s="123"/>
      <c r="O129" s="123"/>
      <c r="P129" s="123"/>
      <c r="Q129" s="123"/>
      <c r="R129" s="123"/>
      <c r="S129" s="123"/>
      <c r="T129" s="123"/>
      <c r="U129" s="123"/>
      <c r="V129" s="123"/>
      <c r="W129" s="123"/>
      <c r="X129" s="123"/>
      <c r="Y129" s="123"/>
    </row>
    <row r="130" spans="1:25" ht="15.75" customHeight="1" x14ac:dyDescent="0.2">
      <c r="A130" s="182"/>
      <c r="B130" s="175"/>
      <c r="C130" s="176"/>
      <c r="D130" s="176"/>
      <c r="E130" s="176"/>
      <c r="F130" s="123"/>
      <c r="G130" s="123"/>
      <c r="H130" s="123"/>
      <c r="I130" s="123"/>
      <c r="J130" s="174"/>
      <c r="K130" s="182"/>
      <c r="L130" s="123"/>
      <c r="M130" s="123"/>
      <c r="N130" s="123"/>
      <c r="O130" s="123"/>
      <c r="P130" s="123"/>
      <c r="Q130" s="123"/>
      <c r="R130" s="123"/>
      <c r="S130" s="123"/>
      <c r="T130" s="123"/>
      <c r="U130" s="123"/>
      <c r="V130" s="123"/>
      <c r="W130" s="123"/>
      <c r="X130" s="123"/>
      <c r="Y130" s="123"/>
    </row>
    <row r="131" spans="1:25" ht="15.75" customHeight="1" x14ac:dyDescent="0.2">
      <c r="A131" s="182"/>
      <c r="B131" s="175"/>
      <c r="C131" s="176"/>
      <c r="D131" s="176"/>
      <c r="E131" s="176"/>
      <c r="F131" s="123"/>
      <c r="G131" s="123"/>
      <c r="H131" s="123"/>
      <c r="I131" s="123"/>
      <c r="J131" s="174"/>
      <c r="K131" s="182"/>
      <c r="L131" s="123"/>
      <c r="M131" s="123"/>
      <c r="N131" s="123"/>
      <c r="O131" s="123"/>
      <c r="P131" s="123"/>
      <c r="Q131" s="123"/>
      <c r="R131" s="123"/>
      <c r="S131" s="123"/>
      <c r="T131" s="123"/>
      <c r="U131" s="123"/>
      <c r="V131" s="123"/>
      <c r="W131" s="123"/>
      <c r="X131" s="123"/>
      <c r="Y131" s="123"/>
    </row>
    <row r="132" spans="1:25" ht="15.75" customHeight="1" x14ac:dyDescent="0.2">
      <c r="A132" s="182"/>
      <c r="B132" s="175"/>
      <c r="C132" s="176"/>
      <c r="D132" s="176"/>
      <c r="E132" s="176"/>
      <c r="F132" s="123"/>
      <c r="G132" s="123"/>
      <c r="H132" s="123"/>
      <c r="I132" s="123"/>
      <c r="J132" s="174"/>
      <c r="K132" s="182"/>
      <c r="L132" s="123"/>
      <c r="M132" s="123"/>
      <c r="N132" s="123"/>
      <c r="O132" s="123"/>
      <c r="P132" s="123"/>
      <c r="Q132" s="123"/>
      <c r="R132" s="123"/>
      <c r="S132" s="123"/>
      <c r="T132" s="123"/>
      <c r="U132" s="123"/>
      <c r="V132" s="123"/>
      <c r="W132" s="123"/>
      <c r="X132" s="123"/>
      <c r="Y132" s="123"/>
    </row>
    <row r="133" spans="1:25" ht="15.75" customHeight="1" x14ac:dyDescent="0.2">
      <c r="A133" s="182"/>
      <c r="B133" s="175"/>
      <c r="C133" s="176"/>
      <c r="D133" s="176"/>
      <c r="E133" s="176"/>
      <c r="F133" s="123"/>
      <c r="G133" s="123"/>
      <c r="H133" s="123"/>
      <c r="I133" s="123"/>
      <c r="J133" s="174"/>
      <c r="K133" s="182"/>
      <c r="L133" s="123"/>
      <c r="M133" s="123"/>
      <c r="N133" s="123"/>
      <c r="O133" s="123"/>
      <c r="P133" s="123"/>
      <c r="Q133" s="123"/>
      <c r="R133" s="123"/>
      <c r="S133" s="123"/>
      <c r="T133" s="123"/>
      <c r="U133" s="123"/>
      <c r="V133" s="123"/>
      <c r="W133" s="123"/>
      <c r="X133" s="123"/>
      <c r="Y133" s="123"/>
    </row>
    <row r="134" spans="1:25" ht="15.75" customHeight="1" x14ac:dyDescent="0.2">
      <c r="A134" s="182"/>
      <c r="B134" s="175"/>
      <c r="C134" s="176"/>
      <c r="D134" s="176"/>
      <c r="E134" s="176"/>
      <c r="F134" s="123"/>
      <c r="G134" s="123"/>
      <c r="H134" s="123"/>
      <c r="I134" s="123"/>
      <c r="J134" s="174"/>
      <c r="K134" s="182"/>
      <c r="L134" s="123"/>
      <c r="M134" s="123"/>
      <c r="N134" s="123"/>
      <c r="O134" s="123"/>
      <c r="P134" s="123"/>
      <c r="Q134" s="123"/>
      <c r="R134" s="123"/>
      <c r="S134" s="123"/>
      <c r="T134" s="123"/>
      <c r="U134" s="123"/>
      <c r="V134" s="123"/>
      <c r="W134" s="123"/>
      <c r="X134" s="123"/>
      <c r="Y134" s="123"/>
    </row>
    <row r="135" spans="1:25" ht="15.75" customHeight="1" x14ac:dyDescent="0.2">
      <c r="A135" s="182"/>
      <c r="B135" s="175"/>
      <c r="C135" s="176"/>
      <c r="D135" s="176"/>
      <c r="E135" s="176"/>
      <c r="F135" s="123"/>
      <c r="G135" s="123"/>
      <c r="H135" s="123"/>
      <c r="I135" s="123"/>
      <c r="J135" s="174"/>
      <c r="K135" s="182"/>
      <c r="L135" s="123"/>
      <c r="M135" s="123"/>
      <c r="N135" s="123"/>
      <c r="O135" s="123"/>
      <c r="P135" s="123"/>
      <c r="Q135" s="123"/>
      <c r="R135" s="123"/>
      <c r="S135" s="123"/>
      <c r="T135" s="123"/>
      <c r="U135" s="123"/>
      <c r="V135" s="123"/>
      <c r="W135" s="123"/>
      <c r="X135" s="123"/>
      <c r="Y135" s="123"/>
    </row>
    <row r="136" spans="1:25" ht="15.75" customHeight="1" x14ac:dyDescent="0.2">
      <c r="A136" s="182"/>
      <c r="B136" s="175"/>
      <c r="C136" s="176"/>
      <c r="D136" s="176"/>
      <c r="E136" s="176"/>
      <c r="F136" s="123"/>
      <c r="G136" s="123"/>
      <c r="H136" s="123"/>
      <c r="I136" s="123"/>
      <c r="J136" s="174"/>
      <c r="K136" s="182"/>
      <c r="L136" s="123"/>
      <c r="M136" s="123"/>
      <c r="N136" s="123"/>
      <c r="O136" s="123"/>
      <c r="P136" s="123"/>
      <c r="Q136" s="123"/>
      <c r="R136" s="123"/>
      <c r="S136" s="123"/>
      <c r="T136" s="123"/>
      <c r="U136" s="123"/>
      <c r="V136" s="123"/>
      <c r="W136" s="123"/>
      <c r="X136" s="123"/>
      <c r="Y136" s="123"/>
    </row>
    <row r="137" spans="1:25" ht="15.75" customHeight="1" x14ac:dyDescent="0.2">
      <c r="A137" s="182"/>
      <c r="B137" s="175"/>
      <c r="C137" s="176"/>
      <c r="D137" s="176"/>
      <c r="E137" s="176"/>
      <c r="F137" s="123"/>
      <c r="G137" s="123"/>
      <c r="H137" s="123"/>
      <c r="I137" s="123"/>
      <c r="J137" s="174"/>
      <c r="K137" s="182"/>
      <c r="L137" s="123"/>
      <c r="M137" s="123"/>
      <c r="N137" s="123"/>
      <c r="O137" s="123"/>
      <c r="P137" s="123"/>
      <c r="Q137" s="123"/>
      <c r="R137" s="123"/>
      <c r="S137" s="123"/>
      <c r="T137" s="123"/>
      <c r="U137" s="123"/>
      <c r="V137" s="123"/>
      <c r="W137" s="123"/>
      <c r="X137" s="123"/>
      <c r="Y137" s="123"/>
    </row>
    <row r="138" spans="1:25" ht="15.75" customHeight="1" x14ac:dyDescent="0.2">
      <c r="A138" s="182"/>
      <c r="B138" s="175"/>
      <c r="C138" s="176"/>
      <c r="D138" s="176"/>
      <c r="E138" s="176"/>
      <c r="F138" s="123"/>
      <c r="G138" s="123"/>
      <c r="H138" s="123"/>
      <c r="I138" s="123"/>
      <c r="J138" s="174"/>
      <c r="K138" s="182"/>
      <c r="L138" s="123"/>
      <c r="M138" s="123"/>
      <c r="N138" s="123"/>
      <c r="O138" s="123"/>
      <c r="P138" s="123"/>
      <c r="Q138" s="123"/>
      <c r="R138" s="123"/>
      <c r="S138" s="123"/>
      <c r="T138" s="123"/>
      <c r="U138" s="123"/>
      <c r="V138" s="123"/>
      <c r="W138" s="123"/>
      <c r="X138" s="123"/>
      <c r="Y138" s="123"/>
    </row>
    <row r="139" spans="1:25" ht="15.75" customHeight="1" x14ac:dyDescent="0.2">
      <c r="A139" s="182"/>
      <c r="B139" s="175"/>
      <c r="C139" s="176"/>
      <c r="D139" s="176"/>
      <c r="E139" s="176"/>
      <c r="F139" s="123"/>
      <c r="G139" s="123"/>
      <c r="H139" s="123"/>
      <c r="I139" s="123"/>
      <c r="J139" s="174"/>
      <c r="K139" s="182"/>
      <c r="L139" s="123"/>
      <c r="M139" s="123"/>
      <c r="N139" s="123"/>
      <c r="O139" s="123"/>
      <c r="P139" s="123"/>
      <c r="Q139" s="123"/>
      <c r="R139" s="123"/>
      <c r="S139" s="123"/>
      <c r="T139" s="123"/>
      <c r="U139" s="123"/>
      <c r="V139" s="123"/>
      <c r="W139" s="123"/>
      <c r="X139" s="123"/>
      <c r="Y139" s="123"/>
    </row>
    <row r="140" spans="1:25" ht="15.75" customHeight="1" x14ac:dyDescent="0.2">
      <c r="A140" s="182"/>
      <c r="B140" s="175"/>
      <c r="C140" s="176"/>
      <c r="D140" s="176"/>
      <c r="E140" s="176"/>
      <c r="F140" s="123"/>
      <c r="G140" s="123"/>
      <c r="H140" s="123"/>
      <c r="I140" s="123"/>
      <c r="J140" s="174"/>
      <c r="K140" s="182"/>
      <c r="L140" s="123"/>
      <c r="M140" s="123"/>
      <c r="N140" s="123"/>
      <c r="O140" s="123"/>
      <c r="P140" s="123"/>
      <c r="Q140" s="123"/>
      <c r="R140" s="123"/>
      <c r="S140" s="123"/>
      <c r="T140" s="123"/>
      <c r="U140" s="123"/>
      <c r="V140" s="123"/>
      <c r="W140" s="123"/>
      <c r="X140" s="123"/>
      <c r="Y140" s="123"/>
    </row>
    <row r="141" spans="1:25" ht="15.75" customHeight="1" x14ac:dyDescent="0.2">
      <c r="A141" s="182"/>
      <c r="B141" s="175"/>
      <c r="C141" s="176"/>
      <c r="D141" s="176"/>
      <c r="E141" s="176"/>
      <c r="F141" s="123"/>
      <c r="G141" s="123"/>
      <c r="H141" s="123"/>
      <c r="I141" s="123"/>
      <c r="J141" s="174"/>
      <c r="K141" s="182"/>
      <c r="L141" s="123"/>
      <c r="M141" s="123"/>
      <c r="N141" s="123"/>
      <c r="O141" s="123"/>
      <c r="P141" s="123"/>
      <c r="Q141" s="123"/>
      <c r="R141" s="123"/>
      <c r="S141" s="123"/>
      <c r="T141" s="123"/>
      <c r="U141" s="123"/>
      <c r="V141" s="123"/>
      <c r="W141" s="123"/>
      <c r="X141" s="123"/>
      <c r="Y141" s="123"/>
    </row>
    <row r="142" spans="1:25" ht="15.75" customHeight="1" x14ac:dyDescent="0.2">
      <c r="A142" s="182"/>
      <c r="B142" s="175"/>
      <c r="C142" s="176"/>
      <c r="D142" s="176"/>
      <c r="E142" s="176"/>
      <c r="F142" s="123"/>
      <c r="G142" s="123"/>
      <c r="H142" s="123"/>
      <c r="I142" s="123"/>
      <c r="J142" s="174"/>
      <c r="K142" s="182"/>
      <c r="L142" s="123"/>
      <c r="M142" s="123"/>
      <c r="N142" s="123"/>
      <c r="O142" s="123"/>
      <c r="P142" s="123"/>
      <c r="Q142" s="123"/>
      <c r="R142" s="123"/>
      <c r="S142" s="123"/>
      <c r="T142" s="123"/>
      <c r="U142" s="123"/>
      <c r="V142" s="123"/>
      <c r="W142" s="123"/>
      <c r="X142" s="123"/>
      <c r="Y142" s="123"/>
    </row>
    <row r="143" spans="1:25" ht="15.75" customHeight="1" x14ac:dyDescent="0.2">
      <c r="A143" s="182"/>
      <c r="B143" s="175"/>
      <c r="C143" s="176"/>
      <c r="D143" s="176"/>
      <c r="E143" s="176"/>
      <c r="F143" s="123"/>
      <c r="G143" s="123"/>
      <c r="H143" s="123"/>
      <c r="I143" s="123"/>
      <c r="J143" s="174"/>
      <c r="K143" s="182"/>
      <c r="L143" s="123"/>
      <c r="M143" s="123"/>
      <c r="N143" s="123"/>
      <c r="O143" s="123"/>
      <c r="P143" s="123"/>
      <c r="Q143" s="123"/>
      <c r="R143" s="123"/>
      <c r="S143" s="123"/>
      <c r="T143" s="123"/>
      <c r="U143" s="123"/>
      <c r="V143" s="123"/>
      <c r="W143" s="123"/>
      <c r="X143" s="123"/>
      <c r="Y143" s="123"/>
    </row>
    <row r="144" spans="1:25" ht="15.75" customHeight="1" x14ac:dyDescent="0.2">
      <c r="A144" s="182"/>
      <c r="B144" s="175"/>
      <c r="C144" s="176"/>
      <c r="D144" s="176"/>
      <c r="E144" s="176"/>
      <c r="F144" s="123"/>
      <c r="G144" s="123"/>
      <c r="H144" s="123"/>
      <c r="I144" s="123"/>
      <c r="J144" s="174"/>
      <c r="K144" s="182"/>
      <c r="L144" s="123"/>
      <c r="M144" s="123"/>
      <c r="N144" s="123"/>
      <c r="O144" s="123"/>
      <c r="P144" s="123"/>
      <c r="Q144" s="123"/>
      <c r="R144" s="123"/>
      <c r="S144" s="123"/>
      <c r="T144" s="123"/>
      <c r="U144" s="123"/>
      <c r="V144" s="123"/>
      <c r="W144" s="123"/>
      <c r="X144" s="123"/>
      <c r="Y144" s="123"/>
    </row>
    <row r="145" spans="1:25" ht="15.75" customHeight="1" x14ac:dyDescent="0.2">
      <c r="A145" s="182"/>
      <c r="B145" s="175"/>
      <c r="C145" s="176"/>
      <c r="D145" s="176"/>
      <c r="E145" s="176"/>
      <c r="F145" s="123"/>
      <c r="G145" s="123"/>
      <c r="H145" s="123"/>
      <c r="I145" s="123"/>
      <c r="J145" s="174"/>
      <c r="K145" s="182"/>
      <c r="L145" s="123"/>
      <c r="M145" s="123"/>
      <c r="N145" s="123"/>
      <c r="O145" s="123"/>
      <c r="P145" s="123"/>
      <c r="Q145" s="123"/>
      <c r="R145" s="123"/>
      <c r="S145" s="123"/>
      <c r="T145" s="123"/>
      <c r="U145" s="123"/>
      <c r="V145" s="123"/>
      <c r="W145" s="123"/>
      <c r="X145" s="123"/>
      <c r="Y145" s="123"/>
    </row>
    <row r="146" spans="1:25" ht="15.75" customHeight="1" x14ac:dyDescent="0.2">
      <c r="A146" s="182"/>
      <c r="B146" s="175"/>
      <c r="C146" s="176"/>
      <c r="D146" s="176"/>
      <c r="E146" s="176"/>
      <c r="F146" s="123"/>
      <c r="G146" s="123"/>
      <c r="H146" s="123"/>
      <c r="I146" s="123"/>
      <c r="J146" s="174"/>
      <c r="K146" s="182"/>
      <c r="L146" s="123"/>
      <c r="M146" s="123"/>
      <c r="N146" s="123"/>
      <c r="O146" s="123"/>
      <c r="P146" s="123"/>
      <c r="Q146" s="123"/>
      <c r="R146" s="123"/>
      <c r="S146" s="123"/>
      <c r="T146" s="123"/>
      <c r="U146" s="123"/>
      <c r="V146" s="123"/>
      <c r="W146" s="123"/>
      <c r="X146" s="123"/>
      <c r="Y146" s="123"/>
    </row>
    <row r="147" spans="1:25" ht="15.75" customHeight="1" x14ac:dyDescent="0.2">
      <c r="A147" s="182"/>
      <c r="B147" s="175"/>
      <c r="C147" s="176"/>
      <c r="D147" s="176"/>
      <c r="E147" s="176"/>
      <c r="F147" s="123"/>
      <c r="G147" s="123"/>
      <c r="H147" s="123"/>
      <c r="I147" s="123"/>
      <c r="J147" s="174"/>
      <c r="K147" s="182"/>
      <c r="L147" s="123"/>
      <c r="M147" s="123"/>
      <c r="N147" s="123"/>
      <c r="O147" s="123"/>
      <c r="P147" s="123"/>
      <c r="Q147" s="123"/>
      <c r="R147" s="123"/>
      <c r="S147" s="123"/>
      <c r="T147" s="123"/>
      <c r="U147" s="123"/>
      <c r="V147" s="123"/>
      <c r="W147" s="123"/>
      <c r="X147" s="123"/>
      <c r="Y147" s="123"/>
    </row>
    <row r="148" spans="1:25" ht="15.75" customHeight="1" x14ac:dyDescent="0.2">
      <c r="A148" s="182"/>
      <c r="B148" s="175"/>
      <c r="C148" s="176"/>
      <c r="D148" s="176"/>
      <c r="E148" s="176"/>
      <c r="F148" s="123"/>
      <c r="G148" s="123"/>
      <c r="H148" s="123"/>
      <c r="I148" s="123"/>
      <c r="J148" s="174"/>
      <c r="K148" s="182"/>
      <c r="L148" s="123"/>
      <c r="M148" s="123"/>
      <c r="N148" s="123"/>
      <c r="O148" s="123"/>
      <c r="P148" s="123"/>
      <c r="Q148" s="123"/>
      <c r="R148" s="123"/>
      <c r="S148" s="123"/>
      <c r="T148" s="123"/>
      <c r="U148" s="123"/>
      <c r="V148" s="123"/>
      <c r="W148" s="123"/>
      <c r="X148" s="123"/>
      <c r="Y148" s="123"/>
    </row>
    <row r="149" spans="1:25" ht="15.75" customHeight="1" x14ac:dyDescent="0.2">
      <c r="A149" s="182"/>
      <c r="B149" s="175"/>
      <c r="C149" s="176"/>
      <c r="D149" s="176"/>
      <c r="E149" s="176"/>
      <c r="F149" s="123"/>
      <c r="G149" s="123"/>
      <c r="H149" s="123"/>
      <c r="I149" s="123"/>
      <c r="J149" s="174"/>
      <c r="K149" s="182"/>
      <c r="L149" s="123"/>
      <c r="M149" s="123"/>
      <c r="N149" s="123"/>
      <c r="O149" s="123"/>
      <c r="P149" s="123"/>
      <c r="Q149" s="123"/>
      <c r="R149" s="123"/>
      <c r="S149" s="123"/>
      <c r="T149" s="123"/>
      <c r="U149" s="123"/>
      <c r="V149" s="123"/>
      <c r="W149" s="123"/>
      <c r="X149" s="123"/>
      <c r="Y149" s="123"/>
    </row>
    <row r="150" spans="1:25" ht="15.75" customHeight="1" x14ac:dyDescent="0.2">
      <c r="A150" s="182"/>
      <c r="B150" s="175"/>
      <c r="C150" s="176"/>
      <c r="D150" s="176"/>
      <c r="E150" s="176"/>
      <c r="F150" s="123"/>
      <c r="G150" s="123"/>
      <c r="H150" s="123"/>
      <c r="I150" s="123"/>
      <c r="J150" s="174"/>
      <c r="K150" s="182"/>
      <c r="L150" s="123"/>
      <c r="M150" s="123"/>
      <c r="N150" s="123"/>
      <c r="O150" s="123"/>
      <c r="P150" s="123"/>
      <c r="Q150" s="123"/>
      <c r="R150" s="123"/>
      <c r="S150" s="123"/>
      <c r="T150" s="123"/>
      <c r="U150" s="123"/>
      <c r="V150" s="123"/>
      <c r="W150" s="123"/>
      <c r="X150" s="123"/>
      <c r="Y150" s="123"/>
    </row>
    <row r="151" spans="1:25" ht="15.75" customHeight="1" x14ac:dyDescent="0.2">
      <c r="A151" s="182"/>
      <c r="B151" s="175"/>
      <c r="C151" s="176"/>
      <c r="D151" s="176"/>
      <c r="E151" s="176"/>
      <c r="F151" s="123"/>
      <c r="G151" s="123"/>
      <c r="H151" s="123"/>
      <c r="I151" s="123"/>
      <c r="J151" s="174"/>
      <c r="K151" s="182"/>
      <c r="L151" s="123"/>
      <c r="M151" s="123"/>
      <c r="N151" s="123"/>
      <c r="O151" s="123"/>
      <c r="P151" s="123"/>
      <c r="Q151" s="123"/>
      <c r="R151" s="123"/>
      <c r="S151" s="123"/>
      <c r="T151" s="123"/>
      <c r="U151" s="123"/>
      <c r="V151" s="123"/>
      <c r="W151" s="123"/>
      <c r="X151" s="123"/>
      <c r="Y151" s="123"/>
    </row>
    <row r="152" spans="1:25" ht="15.75" customHeight="1" x14ac:dyDescent="0.2">
      <c r="A152" s="182"/>
      <c r="B152" s="175"/>
      <c r="C152" s="176"/>
      <c r="D152" s="176"/>
      <c r="E152" s="176"/>
      <c r="F152" s="123"/>
      <c r="G152" s="123"/>
      <c r="H152" s="123"/>
      <c r="I152" s="123"/>
      <c r="J152" s="174"/>
      <c r="K152" s="182"/>
      <c r="L152" s="123"/>
      <c r="M152" s="123"/>
      <c r="N152" s="123"/>
      <c r="O152" s="123"/>
      <c r="P152" s="123"/>
      <c r="Q152" s="123"/>
      <c r="R152" s="123"/>
      <c r="S152" s="123"/>
      <c r="T152" s="123"/>
      <c r="U152" s="123"/>
      <c r="V152" s="123"/>
      <c r="W152" s="123"/>
      <c r="X152" s="123"/>
      <c r="Y152" s="123"/>
    </row>
    <row r="153" spans="1:25" ht="15.75" customHeight="1" x14ac:dyDescent="0.2">
      <c r="A153" s="182"/>
      <c r="B153" s="175"/>
      <c r="C153" s="176"/>
      <c r="D153" s="176"/>
      <c r="E153" s="176"/>
      <c r="F153" s="123"/>
      <c r="G153" s="123"/>
      <c r="H153" s="123"/>
      <c r="I153" s="123"/>
      <c r="J153" s="174"/>
      <c r="K153" s="182"/>
      <c r="L153" s="123"/>
      <c r="M153" s="123"/>
      <c r="N153" s="123"/>
      <c r="O153" s="123"/>
      <c r="P153" s="123"/>
      <c r="Q153" s="123"/>
      <c r="R153" s="123"/>
      <c r="S153" s="123"/>
      <c r="T153" s="123"/>
      <c r="U153" s="123"/>
      <c r="V153" s="123"/>
      <c r="W153" s="123"/>
      <c r="X153" s="123"/>
      <c r="Y153" s="123"/>
    </row>
    <row r="154" spans="1:25" ht="15.75" customHeight="1" x14ac:dyDescent="0.2">
      <c r="A154" s="182"/>
      <c r="B154" s="175"/>
      <c r="C154" s="176"/>
      <c r="D154" s="176"/>
      <c r="E154" s="176"/>
      <c r="F154" s="123"/>
      <c r="G154" s="123"/>
      <c r="H154" s="123"/>
      <c r="I154" s="123"/>
      <c r="J154" s="174"/>
      <c r="K154" s="182"/>
      <c r="L154" s="123"/>
      <c r="M154" s="123"/>
      <c r="N154" s="123"/>
      <c r="O154" s="123"/>
      <c r="P154" s="123"/>
      <c r="Q154" s="123"/>
      <c r="R154" s="123"/>
      <c r="S154" s="123"/>
      <c r="T154" s="123"/>
      <c r="U154" s="123"/>
      <c r="V154" s="123"/>
      <c r="W154" s="123"/>
      <c r="X154" s="123"/>
      <c r="Y154" s="123"/>
    </row>
    <row r="155" spans="1:25" ht="15.75" customHeight="1" x14ac:dyDescent="0.2">
      <c r="A155" s="182"/>
      <c r="B155" s="175"/>
      <c r="C155" s="176"/>
      <c r="D155" s="176"/>
      <c r="E155" s="176"/>
      <c r="F155" s="123"/>
      <c r="G155" s="123"/>
      <c r="H155" s="123"/>
      <c r="I155" s="123"/>
      <c r="J155" s="174"/>
      <c r="K155" s="182"/>
      <c r="L155" s="123"/>
      <c r="M155" s="123"/>
      <c r="N155" s="123"/>
      <c r="O155" s="123"/>
      <c r="P155" s="123"/>
      <c r="Q155" s="123"/>
      <c r="R155" s="123"/>
      <c r="S155" s="123"/>
      <c r="T155" s="123"/>
      <c r="U155" s="123"/>
      <c r="V155" s="123"/>
      <c r="W155" s="123"/>
      <c r="X155" s="123"/>
      <c r="Y155" s="123"/>
    </row>
    <row r="156" spans="1:25" ht="15.75" customHeight="1" x14ac:dyDescent="0.2">
      <c r="A156" s="182"/>
      <c r="B156" s="175"/>
      <c r="C156" s="176"/>
      <c r="D156" s="176"/>
      <c r="E156" s="176"/>
      <c r="F156" s="123"/>
      <c r="G156" s="123"/>
      <c r="H156" s="123"/>
      <c r="I156" s="123"/>
      <c r="J156" s="174"/>
      <c r="K156" s="182"/>
      <c r="L156" s="123"/>
      <c r="M156" s="123"/>
      <c r="N156" s="123"/>
      <c r="O156" s="123"/>
      <c r="P156" s="123"/>
      <c r="Q156" s="123"/>
      <c r="R156" s="123"/>
      <c r="S156" s="123"/>
      <c r="T156" s="123"/>
      <c r="U156" s="123"/>
      <c r="V156" s="123"/>
      <c r="W156" s="123"/>
      <c r="X156" s="123"/>
      <c r="Y156" s="123"/>
    </row>
    <row r="157" spans="1:25" ht="15.75" customHeight="1" x14ac:dyDescent="0.2">
      <c r="A157" s="182"/>
      <c r="B157" s="175"/>
      <c r="C157" s="176"/>
      <c r="D157" s="176"/>
      <c r="E157" s="176"/>
      <c r="F157" s="123"/>
      <c r="G157" s="123"/>
      <c r="H157" s="123"/>
      <c r="I157" s="123"/>
      <c r="J157" s="174"/>
      <c r="K157" s="182"/>
      <c r="L157" s="123"/>
      <c r="M157" s="123"/>
      <c r="N157" s="123"/>
      <c r="O157" s="123"/>
      <c r="P157" s="123"/>
      <c r="Q157" s="123"/>
      <c r="R157" s="123"/>
      <c r="S157" s="123"/>
      <c r="T157" s="123"/>
      <c r="U157" s="123"/>
      <c r="V157" s="123"/>
      <c r="W157" s="123"/>
      <c r="X157" s="123"/>
      <c r="Y157" s="123"/>
    </row>
    <row r="158" spans="1:25" ht="15.75" customHeight="1" x14ac:dyDescent="0.2">
      <c r="A158" s="182"/>
      <c r="B158" s="175"/>
      <c r="C158" s="176"/>
      <c r="D158" s="176"/>
      <c r="E158" s="176"/>
      <c r="F158" s="123"/>
      <c r="G158" s="123"/>
      <c r="H158" s="123"/>
      <c r="I158" s="123"/>
      <c r="J158" s="174"/>
      <c r="K158" s="182"/>
      <c r="L158" s="123"/>
      <c r="M158" s="123"/>
      <c r="N158" s="123"/>
      <c r="O158" s="123"/>
      <c r="P158" s="123"/>
      <c r="Q158" s="123"/>
      <c r="R158" s="123"/>
      <c r="S158" s="123"/>
      <c r="T158" s="123"/>
      <c r="U158" s="123"/>
      <c r="V158" s="123"/>
      <c r="W158" s="123"/>
      <c r="X158" s="123"/>
      <c r="Y158" s="123"/>
    </row>
    <row r="159" spans="1:25" ht="15.75" customHeight="1" x14ac:dyDescent="0.2">
      <c r="A159" s="182"/>
      <c r="B159" s="175"/>
      <c r="C159" s="176"/>
      <c r="D159" s="176"/>
      <c r="E159" s="176"/>
      <c r="F159" s="123"/>
      <c r="G159" s="123"/>
      <c r="H159" s="123"/>
      <c r="I159" s="123"/>
      <c r="J159" s="174"/>
      <c r="K159" s="182"/>
      <c r="L159" s="123"/>
      <c r="M159" s="123"/>
      <c r="N159" s="123"/>
      <c r="O159" s="123"/>
      <c r="P159" s="123"/>
      <c r="Q159" s="123"/>
      <c r="R159" s="123"/>
      <c r="S159" s="123"/>
      <c r="T159" s="123"/>
      <c r="U159" s="123"/>
      <c r="V159" s="123"/>
      <c r="W159" s="123"/>
      <c r="X159" s="123"/>
      <c r="Y159" s="123"/>
    </row>
    <row r="160" spans="1:25" ht="15.75" customHeight="1" x14ac:dyDescent="0.2">
      <c r="A160" s="182"/>
      <c r="B160" s="175"/>
      <c r="C160" s="176"/>
      <c r="D160" s="176"/>
      <c r="E160" s="176"/>
      <c r="F160" s="123"/>
      <c r="G160" s="123"/>
      <c r="H160" s="123"/>
      <c r="I160" s="123"/>
      <c r="J160" s="174"/>
      <c r="K160" s="182"/>
      <c r="L160" s="123"/>
      <c r="M160" s="123"/>
      <c r="N160" s="123"/>
      <c r="O160" s="123"/>
      <c r="P160" s="123"/>
      <c r="Q160" s="123"/>
      <c r="R160" s="123"/>
      <c r="S160" s="123"/>
      <c r="T160" s="123"/>
      <c r="U160" s="123"/>
      <c r="V160" s="123"/>
      <c r="W160" s="123"/>
      <c r="X160" s="123"/>
      <c r="Y160" s="123"/>
    </row>
    <row r="161" spans="1:25" ht="15.75" customHeight="1" x14ac:dyDescent="0.2">
      <c r="A161" s="182"/>
      <c r="B161" s="175"/>
      <c r="C161" s="176"/>
      <c r="D161" s="176"/>
      <c r="E161" s="176"/>
      <c r="F161" s="123"/>
      <c r="G161" s="123"/>
      <c r="H161" s="123"/>
      <c r="I161" s="123"/>
      <c r="J161" s="174"/>
      <c r="K161" s="182"/>
      <c r="L161" s="123"/>
      <c r="M161" s="123"/>
      <c r="N161" s="123"/>
      <c r="O161" s="123"/>
      <c r="P161" s="123"/>
      <c r="Q161" s="123"/>
      <c r="R161" s="123"/>
      <c r="S161" s="123"/>
      <c r="T161" s="123"/>
      <c r="U161" s="123"/>
      <c r="V161" s="123"/>
      <c r="W161" s="123"/>
      <c r="X161" s="123"/>
      <c r="Y161" s="123"/>
    </row>
    <row r="162" spans="1:25" ht="15.75" customHeight="1" x14ac:dyDescent="0.2">
      <c r="A162" s="182"/>
      <c r="B162" s="175"/>
      <c r="C162" s="176"/>
      <c r="D162" s="176"/>
      <c r="E162" s="176"/>
      <c r="F162" s="123"/>
      <c r="G162" s="123"/>
      <c r="H162" s="123"/>
      <c r="I162" s="123"/>
      <c r="J162" s="174"/>
      <c r="K162" s="182"/>
      <c r="L162" s="123"/>
      <c r="M162" s="123"/>
      <c r="N162" s="123"/>
      <c r="O162" s="123"/>
      <c r="P162" s="123"/>
      <c r="Q162" s="123"/>
      <c r="R162" s="123"/>
      <c r="S162" s="123"/>
      <c r="T162" s="123"/>
      <c r="U162" s="123"/>
      <c r="V162" s="123"/>
      <c r="W162" s="123"/>
      <c r="X162" s="123"/>
      <c r="Y162" s="123"/>
    </row>
    <row r="163" spans="1:25" ht="15.75" customHeight="1" x14ac:dyDescent="0.2">
      <c r="A163" s="182"/>
      <c r="B163" s="175"/>
      <c r="C163" s="176"/>
      <c r="D163" s="176"/>
      <c r="E163" s="176"/>
      <c r="F163" s="123"/>
      <c r="G163" s="123"/>
      <c r="H163" s="123"/>
      <c r="I163" s="123"/>
      <c r="J163" s="174"/>
      <c r="K163" s="182"/>
      <c r="L163" s="123"/>
      <c r="M163" s="123"/>
      <c r="N163" s="123"/>
      <c r="O163" s="123"/>
      <c r="P163" s="123"/>
      <c r="Q163" s="123"/>
      <c r="R163" s="123"/>
      <c r="S163" s="123"/>
      <c r="T163" s="123"/>
      <c r="U163" s="123"/>
      <c r="V163" s="123"/>
      <c r="W163" s="123"/>
      <c r="X163" s="123"/>
      <c r="Y163" s="123"/>
    </row>
    <row r="164" spans="1:25" ht="15.75" customHeight="1" x14ac:dyDescent="0.2">
      <c r="A164" s="182"/>
      <c r="B164" s="175"/>
      <c r="C164" s="176"/>
      <c r="D164" s="176"/>
      <c r="E164" s="176"/>
      <c r="F164" s="123"/>
      <c r="G164" s="123"/>
      <c r="H164" s="123"/>
      <c r="I164" s="123"/>
      <c r="J164" s="174"/>
      <c r="K164" s="182"/>
      <c r="L164" s="123"/>
      <c r="M164" s="123"/>
      <c r="N164" s="123"/>
      <c r="O164" s="123"/>
      <c r="P164" s="123"/>
      <c r="Q164" s="123"/>
      <c r="R164" s="123"/>
      <c r="S164" s="123"/>
      <c r="T164" s="123"/>
      <c r="U164" s="123"/>
      <c r="V164" s="123"/>
      <c r="W164" s="123"/>
      <c r="X164" s="123"/>
      <c r="Y164" s="123"/>
    </row>
    <row r="165" spans="1:25" ht="15.75" customHeight="1" x14ac:dyDescent="0.2">
      <c r="A165" s="182"/>
      <c r="B165" s="175"/>
      <c r="C165" s="176"/>
      <c r="D165" s="176"/>
      <c r="E165" s="176"/>
      <c r="F165" s="123"/>
      <c r="G165" s="123"/>
      <c r="H165" s="123"/>
      <c r="I165" s="123"/>
      <c r="J165" s="174"/>
      <c r="K165" s="182"/>
      <c r="L165" s="123"/>
      <c r="M165" s="123"/>
      <c r="N165" s="123"/>
      <c r="O165" s="123"/>
      <c r="P165" s="123"/>
      <c r="Q165" s="123"/>
      <c r="R165" s="123"/>
      <c r="S165" s="123"/>
      <c r="T165" s="123"/>
      <c r="U165" s="123"/>
      <c r="V165" s="123"/>
      <c r="W165" s="123"/>
      <c r="X165" s="123"/>
      <c r="Y165" s="123"/>
    </row>
    <row r="166" spans="1:25" ht="15.75" customHeight="1" x14ac:dyDescent="0.2">
      <c r="A166" s="182"/>
      <c r="B166" s="175"/>
      <c r="C166" s="176"/>
      <c r="D166" s="176"/>
      <c r="E166" s="176"/>
      <c r="F166" s="123"/>
      <c r="G166" s="123"/>
      <c r="H166" s="123"/>
      <c r="I166" s="123"/>
      <c r="J166" s="174"/>
      <c r="K166" s="182"/>
      <c r="L166" s="123"/>
      <c r="M166" s="123"/>
      <c r="N166" s="123"/>
      <c r="O166" s="123"/>
      <c r="P166" s="123"/>
      <c r="Q166" s="123"/>
      <c r="R166" s="123"/>
      <c r="S166" s="123"/>
      <c r="T166" s="123"/>
      <c r="U166" s="123"/>
      <c r="V166" s="123"/>
      <c r="W166" s="123"/>
      <c r="X166" s="123"/>
      <c r="Y166" s="123"/>
    </row>
    <row r="167" spans="1:25" ht="15.75" customHeight="1" x14ac:dyDescent="0.2">
      <c r="A167" s="182"/>
      <c r="B167" s="175"/>
      <c r="C167" s="176"/>
      <c r="D167" s="176"/>
      <c r="E167" s="176"/>
      <c r="F167" s="123"/>
      <c r="G167" s="123"/>
      <c r="H167" s="123"/>
      <c r="I167" s="123"/>
      <c r="J167" s="174"/>
      <c r="K167" s="182"/>
      <c r="L167" s="123"/>
      <c r="M167" s="123"/>
      <c r="N167" s="123"/>
      <c r="O167" s="123"/>
      <c r="P167" s="123"/>
      <c r="Q167" s="123"/>
      <c r="R167" s="123"/>
      <c r="S167" s="123"/>
      <c r="T167" s="123"/>
      <c r="U167" s="123"/>
      <c r="V167" s="123"/>
      <c r="W167" s="123"/>
      <c r="X167" s="123"/>
      <c r="Y167" s="123"/>
    </row>
    <row r="168" spans="1:25" ht="15.75" customHeight="1" x14ac:dyDescent="0.2">
      <c r="A168" s="182"/>
      <c r="B168" s="175"/>
      <c r="C168" s="176"/>
      <c r="D168" s="176"/>
      <c r="E168" s="176"/>
      <c r="F168" s="123"/>
      <c r="G168" s="123"/>
      <c r="H168" s="123"/>
      <c r="I168" s="123"/>
      <c r="J168" s="174"/>
      <c r="K168" s="182"/>
      <c r="L168" s="123"/>
      <c r="M168" s="123"/>
      <c r="N168" s="123"/>
      <c r="O168" s="123"/>
      <c r="P168" s="123"/>
      <c r="Q168" s="123"/>
      <c r="R168" s="123"/>
      <c r="S168" s="123"/>
      <c r="T168" s="123"/>
      <c r="U168" s="123"/>
      <c r="V168" s="123"/>
      <c r="W168" s="123"/>
      <c r="X168" s="123"/>
      <c r="Y168" s="123"/>
    </row>
    <row r="169" spans="1:25" ht="15.75" customHeight="1" x14ac:dyDescent="0.2">
      <c r="A169" s="182"/>
      <c r="B169" s="175"/>
      <c r="C169" s="176"/>
      <c r="D169" s="176"/>
      <c r="E169" s="176"/>
      <c r="F169" s="123"/>
      <c r="G169" s="123"/>
      <c r="H169" s="123"/>
      <c r="I169" s="123"/>
      <c r="J169" s="174"/>
      <c r="K169" s="182"/>
      <c r="L169" s="123"/>
      <c r="M169" s="123"/>
      <c r="N169" s="123"/>
      <c r="O169" s="123"/>
      <c r="P169" s="123"/>
      <c r="Q169" s="123"/>
      <c r="R169" s="123"/>
      <c r="S169" s="123"/>
      <c r="T169" s="123"/>
      <c r="U169" s="123"/>
      <c r="V169" s="123"/>
      <c r="W169" s="123"/>
      <c r="X169" s="123"/>
      <c r="Y169" s="123"/>
    </row>
    <row r="170" spans="1:25" ht="15.75" customHeight="1" x14ac:dyDescent="0.2">
      <c r="A170" s="182"/>
      <c r="B170" s="175"/>
      <c r="C170" s="176"/>
      <c r="D170" s="176"/>
      <c r="E170" s="176"/>
      <c r="F170" s="123"/>
      <c r="G170" s="123"/>
      <c r="H170" s="123"/>
      <c r="I170" s="123"/>
      <c r="J170" s="174"/>
      <c r="K170" s="182"/>
      <c r="L170" s="123"/>
      <c r="M170" s="123"/>
      <c r="N170" s="123"/>
      <c r="O170" s="123"/>
      <c r="P170" s="123"/>
      <c r="Q170" s="123"/>
      <c r="R170" s="123"/>
      <c r="S170" s="123"/>
      <c r="T170" s="123"/>
      <c r="U170" s="123"/>
      <c r="V170" s="123"/>
      <c r="W170" s="123"/>
      <c r="X170" s="123"/>
      <c r="Y170" s="123"/>
    </row>
    <row r="171" spans="1:25" ht="15.75" customHeight="1" x14ac:dyDescent="0.2">
      <c r="A171" s="182"/>
      <c r="B171" s="175"/>
      <c r="C171" s="176"/>
      <c r="D171" s="176"/>
      <c r="E171" s="176"/>
      <c r="F171" s="123"/>
      <c r="G171" s="123"/>
      <c r="H171" s="123"/>
      <c r="I171" s="123"/>
      <c r="J171" s="174"/>
      <c r="K171" s="182"/>
      <c r="L171" s="123"/>
      <c r="M171" s="123"/>
      <c r="N171" s="123"/>
      <c r="O171" s="123"/>
      <c r="P171" s="123"/>
      <c r="Q171" s="123"/>
      <c r="R171" s="123"/>
      <c r="S171" s="123"/>
      <c r="T171" s="123"/>
      <c r="U171" s="123"/>
      <c r="V171" s="123"/>
      <c r="W171" s="123"/>
      <c r="X171" s="123"/>
      <c r="Y171" s="123"/>
    </row>
    <row r="172" spans="1:25" ht="15.75" customHeight="1" x14ac:dyDescent="0.2">
      <c r="A172" s="182"/>
      <c r="B172" s="175"/>
      <c r="C172" s="176"/>
      <c r="D172" s="176"/>
      <c r="E172" s="176"/>
      <c r="F172" s="123"/>
      <c r="G172" s="123"/>
      <c r="H172" s="123"/>
      <c r="I172" s="123"/>
      <c r="J172" s="174"/>
      <c r="K172" s="182"/>
      <c r="L172" s="123"/>
      <c r="M172" s="123"/>
      <c r="N172" s="123"/>
      <c r="O172" s="123"/>
      <c r="P172" s="123"/>
      <c r="Q172" s="123"/>
      <c r="R172" s="123"/>
      <c r="S172" s="123"/>
      <c r="T172" s="123"/>
      <c r="U172" s="123"/>
      <c r="V172" s="123"/>
      <c r="W172" s="123"/>
      <c r="X172" s="123"/>
      <c r="Y172" s="123"/>
    </row>
    <row r="173" spans="1:25" ht="15.75" customHeight="1" x14ac:dyDescent="0.2">
      <c r="A173" s="182"/>
      <c r="B173" s="175"/>
      <c r="C173" s="176"/>
      <c r="D173" s="176"/>
      <c r="E173" s="176"/>
      <c r="F173" s="123"/>
      <c r="G173" s="123"/>
      <c r="H173" s="123"/>
      <c r="I173" s="123"/>
      <c r="J173" s="174"/>
      <c r="K173" s="182"/>
      <c r="L173" s="123"/>
      <c r="M173" s="123"/>
      <c r="N173" s="123"/>
      <c r="O173" s="123"/>
      <c r="P173" s="123"/>
      <c r="Q173" s="123"/>
      <c r="R173" s="123"/>
      <c r="S173" s="123"/>
      <c r="T173" s="123"/>
      <c r="U173" s="123"/>
      <c r="V173" s="123"/>
      <c r="W173" s="123"/>
      <c r="X173" s="123"/>
      <c r="Y173" s="123"/>
    </row>
    <row r="174" spans="1:25" ht="15.75" customHeight="1" x14ac:dyDescent="0.2">
      <c r="A174" s="182"/>
      <c r="B174" s="175"/>
      <c r="C174" s="176"/>
      <c r="D174" s="176"/>
      <c r="E174" s="176"/>
      <c r="F174" s="123"/>
      <c r="G174" s="123"/>
      <c r="H174" s="123"/>
      <c r="I174" s="123"/>
      <c r="J174" s="174"/>
      <c r="K174" s="182"/>
      <c r="L174" s="123"/>
      <c r="M174" s="123"/>
      <c r="N174" s="123"/>
      <c r="O174" s="123"/>
      <c r="P174" s="123"/>
      <c r="Q174" s="123"/>
      <c r="R174" s="123"/>
      <c r="S174" s="123"/>
      <c r="T174" s="123"/>
      <c r="U174" s="123"/>
      <c r="V174" s="123"/>
      <c r="W174" s="123"/>
      <c r="X174" s="123"/>
      <c r="Y174" s="123"/>
    </row>
    <row r="175" spans="1:25" ht="15.75" customHeight="1" x14ac:dyDescent="0.2">
      <c r="A175" s="182"/>
      <c r="B175" s="175"/>
      <c r="C175" s="176"/>
      <c r="D175" s="176"/>
      <c r="E175" s="176"/>
      <c r="F175" s="123"/>
      <c r="G175" s="123"/>
      <c r="H175" s="123"/>
      <c r="I175" s="123"/>
      <c r="J175" s="174"/>
      <c r="K175" s="182"/>
      <c r="L175" s="123"/>
      <c r="M175" s="123"/>
      <c r="N175" s="123"/>
      <c r="O175" s="123"/>
      <c r="P175" s="123"/>
      <c r="Q175" s="123"/>
      <c r="R175" s="123"/>
      <c r="S175" s="123"/>
      <c r="T175" s="123"/>
      <c r="U175" s="123"/>
      <c r="V175" s="123"/>
      <c r="W175" s="123"/>
      <c r="X175" s="123"/>
      <c r="Y175" s="123"/>
    </row>
    <row r="176" spans="1:25" ht="15.75" customHeight="1" x14ac:dyDescent="0.2">
      <c r="A176" s="182"/>
      <c r="B176" s="175"/>
      <c r="C176" s="176"/>
      <c r="D176" s="176"/>
      <c r="E176" s="176"/>
      <c r="F176" s="123"/>
      <c r="G176" s="123"/>
      <c r="H176" s="123"/>
      <c r="I176" s="123"/>
      <c r="J176" s="174"/>
      <c r="K176" s="182"/>
      <c r="L176" s="123"/>
      <c r="M176" s="123"/>
      <c r="N176" s="123"/>
      <c r="O176" s="123"/>
      <c r="P176" s="123"/>
      <c r="Q176" s="123"/>
      <c r="R176" s="123"/>
      <c r="S176" s="123"/>
      <c r="T176" s="123"/>
      <c r="U176" s="123"/>
      <c r="V176" s="123"/>
      <c r="W176" s="123"/>
      <c r="X176" s="123"/>
      <c r="Y176" s="123"/>
    </row>
    <row r="177" spans="1:25" ht="15.75" customHeight="1" x14ac:dyDescent="0.2">
      <c r="A177" s="182"/>
      <c r="B177" s="175"/>
      <c r="C177" s="176"/>
      <c r="D177" s="176"/>
      <c r="E177" s="176"/>
      <c r="F177" s="123"/>
      <c r="G177" s="123"/>
      <c r="H177" s="123"/>
      <c r="I177" s="123"/>
      <c r="J177" s="174"/>
      <c r="K177" s="182"/>
      <c r="L177" s="123"/>
      <c r="M177" s="123"/>
      <c r="N177" s="123"/>
      <c r="O177" s="123"/>
      <c r="P177" s="123"/>
      <c r="Q177" s="123"/>
      <c r="R177" s="123"/>
      <c r="S177" s="123"/>
      <c r="T177" s="123"/>
      <c r="U177" s="123"/>
      <c r="V177" s="123"/>
      <c r="W177" s="123"/>
      <c r="X177" s="123"/>
      <c r="Y177" s="123"/>
    </row>
    <row r="178" spans="1:25" ht="15.75" customHeight="1" x14ac:dyDescent="0.2">
      <c r="A178" s="182"/>
      <c r="B178" s="175"/>
      <c r="C178" s="176"/>
      <c r="D178" s="176"/>
      <c r="E178" s="176"/>
      <c r="F178" s="123"/>
      <c r="G178" s="123"/>
      <c r="H178" s="123"/>
      <c r="I178" s="123"/>
      <c r="J178" s="174"/>
      <c r="K178" s="182"/>
      <c r="L178" s="123"/>
      <c r="M178" s="123"/>
      <c r="N178" s="123"/>
      <c r="O178" s="123"/>
      <c r="P178" s="123"/>
      <c r="Q178" s="123"/>
      <c r="R178" s="123"/>
      <c r="S178" s="123"/>
      <c r="T178" s="123"/>
      <c r="U178" s="123"/>
      <c r="V178" s="123"/>
      <c r="W178" s="123"/>
      <c r="X178" s="123"/>
      <c r="Y178" s="123"/>
    </row>
    <row r="179" spans="1:25" ht="15.75" customHeight="1" x14ac:dyDescent="0.2">
      <c r="A179" s="182"/>
      <c r="B179" s="175"/>
      <c r="C179" s="176"/>
      <c r="D179" s="176"/>
      <c r="E179" s="176"/>
      <c r="F179" s="123"/>
      <c r="G179" s="123"/>
      <c r="H179" s="123"/>
      <c r="I179" s="123"/>
      <c r="J179" s="174"/>
      <c r="K179" s="182"/>
      <c r="L179" s="123"/>
      <c r="M179" s="123"/>
      <c r="N179" s="123"/>
      <c r="O179" s="123"/>
      <c r="P179" s="123"/>
      <c r="Q179" s="123"/>
      <c r="R179" s="123"/>
      <c r="S179" s="123"/>
      <c r="T179" s="123"/>
      <c r="U179" s="123"/>
      <c r="V179" s="123"/>
      <c r="W179" s="123"/>
      <c r="X179" s="123"/>
      <c r="Y179" s="123"/>
    </row>
    <row r="180" spans="1:25" ht="15.75" customHeight="1" x14ac:dyDescent="0.2">
      <c r="A180" s="182"/>
      <c r="B180" s="175"/>
      <c r="C180" s="176"/>
      <c r="D180" s="176"/>
      <c r="E180" s="176"/>
      <c r="F180" s="123"/>
      <c r="G180" s="123"/>
      <c r="H180" s="123"/>
      <c r="I180" s="123"/>
      <c r="J180" s="174"/>
      <c r="K180" s="182"/>
      <c r="L180" s="123"/>
      <c r="M180" s="123"/>
      <c r="N180" s="123"/>
      <c r="O180" s="123"/>
      <c r="P180" s="123"/>
      <c r="Q180" s="123"/>
      <c r="R180" s="123"/>
      <c r="S180" s="123"/>
      <c r="T180" s="123"/>
      <c r="U180" s="123"/>
      <c r="V180" s="123"/>
      <c r="W180" s="123"/>
      <c r="X180" s="123"/>
      <c r="Y180" s="123"/>
    </row>
    <row r="181" spans="1:25" ht="15.75" customHeight="1" x14ac:dyDescent="0.2">
      <c r="A181" s="182"/>
      <c r="B181" s="175"/>
      <c r="C181" s="176"/>
      <c r="D181" s="176"/>
      <c r="E181" s="176"/>
      <c r="F181" s="123"/>
      <c r="G181" s="123"/>
      <c r="H181" s="123"/>
      <c r="I181" s="123"/>
      <c r="J181" s="174"/>
      <c r="K181" s="182"/>
      <c r="L181" s="123"/>
      <c r="M181" s="123"/>
      <c r="N181" s="123"/>
      <c r="O181" s="123"/>
      <c r="P181" s="123"/>
      <c r="Q181" s="123"/>
      <c r="R181" s="123"/>
      <c r="S181" s="123"/>
      <c r="T181" s="123"/>
      <c r="U181" s="123"/>
      <c r="V181" s="123"/>
      <c r="W181" s="123"/>
      <c r="X181" s="123"/>
      <c r="Y181" s="123"/>
    </row>
    <row r="182" spans="1:25" ht="15.75" customHeight="1" x14ac:dyDescent="0.2">
      <c r="A182" s="182"/>
      <c r="B182" s="175"/>
      <c r="C182" s="176"/>
      <c r="D182" s="176"/>
      <c r="E182" s="176"/>
      <c r="F182" s="123"/>
      <c r="G182" s="123"/>
      <c r="H182" s="123"/>
      <c r="I182" s="123"/>
      <c r="J182" s="174"/>
      <c r="K182" s="182"/>
      <c r="L182" s="123"/>
      <c r="M182" s="123"/>
      <c r="N182" s="123"/>
      <c r="O182" s="123"/>
      <c r="P182" s="123"/>
      <c r="Q182" s="123"/>
      <c r="R182" s="123"/>
      <c r="S182" s="123"/>
      <c r="T182" s="123"/>
      <c r="U182" s="123"/>
      <c r="V182" s="123"/>
      <c r="W182" s="123"/>
      <c r="X182" s="123"/>
      <c r="Y182" s="123"/>
    </row>
    <row r="183" spans="1:25" ht="15.75" customHeight="1" x14ac:dyDescent="0.2">
      <c r="A183" s="182"/>
      <c r="B183" s="175"/>
      <c r="C183" s="176"/>
      <c r="D183" s="176"/>
      <c r="E183" s="176"/>
      <c r="F183" s="123"/>
      <c r="G183" s="123"/>
      <c r="H183" s="123"/>
      <c r="I183" s="123"/>
      <c r="J183" s="174"/>
      <c r="K183" s="182"/>
      <c r="L183" s="123"/>
      <c r="M183" s="123"/>
      <c r="N183" s="123"/>
      <c r="O183" s="123"/>
      <c r="P183" s="123"/>
      <c r="Q183" s="123"/>
      <c r="R183" s="123"/>
      <c r="S183" s="123"/>
      <c r="T183" s="123"/>
      <c r="U183" s="123"/>
      <c r="V183" s="123"/>
      <c r="W183" s="123"/>
      <c r="X183" s="123"/>
      <c r="Y183" s="123"/>
    </row>
    <row r="184" spans="1:25" ht="15.75" customHeight="1" x14ac:dyDescent="0.2">
      <c r="A184" s="182"/>
      <c r="B184" s="175"/>
      <c r="C184" s="176"/>
      <c r="D184" s="176"/>
      <c r="E184" s="176"/>
      <c r="F184" s="123"/>
      <c r="G184" s="123"/>
      <c r="H184" s="123"/>
      <c r="I184" s="123"/>
      <c r="J184" s="174"/>
      <c r="K184" s="182"/>
      <c r="L184" s="123"/>
      <c r="M184" s="123"/>
      <c r="N184" s="123"/>
      <c r="O184" s="123"/>
      <c r="P184" s="123"/>
      <c r="Q184" s="123"/>
      <c r="R184" s="123"/>
      <c r="S184" s="123"/>
      <c r="T184" s="123"/>
      <c r="U184" s="123"/>
      <c r="V184" s="123"/>
      <c r="W184" s="123"/>
      <c r="X184" s="123"/>
      <c r="Y184" s="123"/>
    </row>
    <row r="185" spans="1:25" ht="15.75" customHeight="1" x14ac:dyDescent="0.2">
      <c r="A185" s="182"/>
      <c r="B185" s="175"/>
      <c r="C185" s="176"/>
      <c r="D185" s="176"/>
      <c r="E185" s="176"/>
      <c r="F185" s="123"/>
      <c r="G185" s="123"/>
      <c r="H185" s="123"/>
      <c r="I185" s="123"/>
      <c r="J185" s="174"/>
      <c r="K185" s="182"/>
      <c r="L185" s="123"/>
      <c r="M185" s="123"/>
      <c r="N185" s="123"/>
      <c r="O185" s="123"/>
      <c r="P185" s="123"/>
      <c r="Q185" s="123"/>
      <c r="R185" s="123"/>
      <c r="S185" s="123"/>
      <c r="T185" s="123"/>
      <c r="U185" s="123"/>
      <c r="V185" s="123"/>
      <c r="W185" s="123"/>
      <c r="X185" s="123"/>
      <c r="Y185" s="123"/>
    </row>
    <row r="186" spans="1:25" ht="15.75" customHeight="1" x14ac:dyDescent="0.2">
      <c r="A186" s="182"/>
      <c r="B186" s="175"/>
      <c r="C186" s="176"/>
      <c r="D186" s="176"/>
      <c r="E186" s="176"/>
      <c r="F186" s="123"/>
      <c r="G186" s="123"/>
      <c r="H186" s="123"/>
      <c r="I186" s="123"/>
      <c r="J186" s="174"/>
      <c r="K186" s="182"/>
      <c r="L186" s="123"/>
      <c r="M186" s="123"/>
      <c r="N186" s="123"/>
      <c r="O186" s="123"/>
      <c r="P186" s="123"/>
      <c r="Q186" s="123"/>
      <c r="R186" s="123"/>
      <c r="S186" s="123"/>
      <c r="T186" s="123"/>
      <c r="U186" s="123"/>
      <c r="V186" s="123"/>
      <c r="W186" s="123"/>
      <c r="X186" s="123"/>
      <c r="Y186" s="123"/>
    </row>
    <row r="187" spans="1:25" ht="15.75" customHeight="1" x14ac:dyDescent="0.2">
      <c r="A187" s="182"/>
      <c r="B187" s="175"/>
      <c r="C187" s="176"/>
      <c r="D187" s="176"/>
      <c r="E187" s="176"/>
      <c r="F187" s="123"/>
      <c r="G187" s="123"/>
      <c r="H187" s="123"/>
      <c r="I187" s="123"/>
      <c r="J187" s="174"/>
      <c r="K187" s="182"/>
      <c r="L187" s="123"/>
      <c r="M187" s="123"/>
      <c r="N187" s="123"/>
      <c r="O187" s="123"/>
      <c r="P187" s="123"/>
      <c r="Q187" s="123"/>
      <c r="R187" s="123"/>
      <c r="S187" s="123"/>
      <c r="T187" s="123"/>
      <c r="U187" s="123"/>
      <c r="V187" s="123"/>
      <c r="W187" s="123"/>
      <c r="X187" s="123"/>
      <c r="Y187" s="123"/>
    </row>
    <row r="188" spans="1:25" ht="15.75" customHeight="1" x14ac:dyDescent="0.2">
      <c r="A188" s="182"/>
      <c r="B188" s="175"/>
      <c r="C188" s="176"/>
      <c r="D188" s="176"/>
      <c r="E188" s="176"/>
      <c r="F188" s="123"/>
      <c r="G188" s="123"/>
      <c r="H188" s="123"/>
      <c r="I188" s="123"/>
      <c r="J188" s="174"/>
      <c r="K188" s="182"/>
      <c r="L188" s="123"/>
      <c r="M188" s="123"/>
      <c r="N188" s="123"/>
      <c r="O188" s="123"/>
      <c r="P188" s="123"/>
      <c r="Q188" s="123"/>
      <c r="R188" s="123"/>
      <c r="S188" s="123"/>
      <c r="T188" s="123"/>
      <c r="U188" s="123"/>
      <c r="V188" s="123"/>
      <c r="W188" s="123"/>
      <c r="X188" s="123"/>
      <c r="Y188" s="123"/>
    </row>
    <row r="189" spans="1:25" ht="15.75" customHeight="1" x14ac:dyDescent="0.2">
      <c r="A189" s="182"/>
      <c r="B189" s="175"/>
      <c r="C189" s="176"/>
      <c r="D189" s="176"/>
      <c r="E189" s="176"/>
      <c r="F189" s="123"/>
      <c r="G189" s="123"/>
      <c r="H189" s="123"/>
      <c r="I189" s="123"/>
      <c r="J189" s="174"/>
      <c r="K189" s="182"/>
      <c r="L189" s="123"/>
      <c r="M189" s="123"/>
      <c r="N189" s="123"/>
      <c r="O189" s="123"/>
      <c r="P189" s="123"/>
      <c r="Q189" s="123"/>
      <c r="R189" s="123"/>
      <c r="S189" s="123"/>
      <c r="T189" s="123"/>
      <c r="U189" s="123"/>
      <c r="V189" s="123"/>
      <c r="W189" s="123"/>
      <c r="X189" s="123"/>
      <c r="Y189" s="123"/>
    </row>
    <row r="190" spans="1:25" ht="15.75" customHeight="1" x14ac:dyDescent="0.2">
      <c r="A190" s="182"/>
      <c r="B190" s="175"/>
      <c r="C190" s="176"/>
      <c r="D190" s="176"/>
      <c r="E190" s="176"/>
      <c r="F190" s="123"/>
      <c r="G190" s="123"/>
      <c r="H190" s="123"/>
      <c r="I190" s="123"/>
      <c r="J190" s="174"/>
      <c r="K190" s="182"/>
      <c r="L190" s="123"/>
      <c r="M190" s="123"/>
      <c r="N190" s="123"/>
      <c r="O190" s="123"/>
      <c r="P190" s="123"/>
      <c r="Q190" s="123"/>
      <c r="R190" s="123"/>
      <c r="S190" s="123"/>
      <c r="T190" s="123"/>
      <c r="U190" s="123"/>
      <c r="V190" s="123"/>
      <c r="W190" s="123"/>
      <c r="X190" s="123"/>
      <c r="Y190" s="123"/>
    </row>
    <row r="191" spans="1:25" ht="15.75" customHeight="1" x14ac:dyDescent="0.2">
      <c r="A191" s="182"/>
      <c r="B191" s="175"/>
      <c r="C191" s="176"/>
      <c r="D191" s="176"/>
      <c r="E191" s="176"/>
      <c r="F191" s="123"/>
      <c r="G191" s="123"/>
      <c r="H191" s="123"/>
      <c r="I191" s="123"/>
      <c r="J191" s="174"/>
      <c r="K191" s="182"/>
      <c r="L191" s="123"/>
      <c r="M191" s="123"/>
      <c r="N191" s="123"/>
      <c r="O191" s="123"/>
      <c r="P191" s="123"/>
      <c r="Q191" s="123"/>
      <c r="R191" s="123"/>
      <c r="S191" s="123"/>
      <c r="T191" s="123"/>
      <c r="U191" s="123"/>
      <c r="V191" s="123"/>
      <c r="W191" s="123"/>
      <c r="X191" s="123"/>
      <c r="Y191" s="123"/>
    </row>
    <row r="192" spans="1:25" ht="15.75" customHeight="1" x14ac:dyDescent="0.2">
      <c r="A192" s="182"/>
      <c r="B192" s="175"/>
      <c r="C192" s="176"/>
      <c r="D192" s="176"/>
      <c r="E192" s="176"/>
      <c r="F192" s="123"/>
      <c r="G192" s="123"/>
      <c r="H192" s="123"/>
      <c r="I192" s="123"/>
      <c r="J192" s="174"/>
      <c r="K192" s="182"/>
      <c r="L192" s="123"/>
      <c r="M192" s="123"/>
      <c r="N192" s="123"/>
      <c r="O192" s="123"/>
      <c r="P192" s="123"/>
      <c r="Q192" s="123"/>
      <c r="R192" s="123"/>
      <c r="S192" s="123"/>
      <c r="T192" s="123"/>
      <c r="U192" s="123"/>
      <c r="V192" s="123"/>
      <c r="W192" s="123"/>
      <c r="X192" s="123"/>
      <c r="Y192" s="123"/>
    </row>
    <row r="193" spans="1:25" ht="15.75" customHeight="1" x14ac:dyDescent="0.2">
      <c r="A193" s="182"/>
      <c r="B193" s="175"/>
      <c r="C193" s="176"/>
      <c r="D193" s="176"/>
      <c r="E193" s="176"/>
      <c r="F193" s="123"/>
      <c r="G193" s="123"/>
      <c r="H193" s="123"/>
      <c r="I193" s="123"/>
      <c r="J193" s="174"/>
      <c r="K193" s="182"/>
      <c r="L193" s="123"/>
      <c r="M193" s="123"/>
      <c r="N193" s="123"/>
      <c r="O193" s="123"/>
      <c r="P193" s="123"/>
      <c r="Q193" s="123"/>
      <c r="R193" s="123"/>
      <c r="S193" s="123"/>
      <c r="T193" s="123"/>
      <c r="U193" s="123"/>
      <c r="V193" s="123"/>
      <c r="W193" s="123"/>
      <c r="X193" s="123"/>
      <c r="Y193" s="123"/>
    </row>
    <row r="194" spans="1:25" ht="15.75" customHeight="1" x14ac:dyDescent="0.2">
      <c r="A194" s="182"/>
      <c r="B194" s="175"/>
      <c r="C194" s="176"/>
      <c r="D194" s="176"/>
      <c r="E194" s="176"/>
      <c r="F194" s="123"/>
      <c r="G194" s="123"/>
      <c r="H194" s="123"/>
      <c r="I194" s="123"/>
      <c r="J194" s="174"/>
      <c r="K194" s="182"/>
      <c r="L194" s="123"/>
      <c r="M194" s="123"/>
      <c r="N194" s="123"/>
      <c r="O194" s="123"/>
      <c r="P194" s="123"/>
      <c r="Q194" s="123"/>
      <c r="R194" s="123"/>
      <c r="S194" s="123"/>
      <c r="T194" s="123"/>
      <c r="U194" s="123"/>
      <c r="V194" s="123"/>
      <c r="W194" s="123"/>
      <c r="X194" s="123"/>
      <c r="Y194" s="123"/>
    </row>
    <row r="195" spans="1:25" ht="15.75" customHeight="1" x14ac:dyDescent="0.2">
      <c r="A195" s="182"/>
      <c r="B195" s="175"/>
      <c r="C195" s="176"/>
      <c r="D195" s="176"/>
      <c r="E195" s="176"/>
      <c r="F195" s="123"/>
      <c r="G195" s="123"/>
      <c r="H195" s="123"/>
      <c r="I195" s="123"/>
      <c r="J195" s="174"/>
      <c r="K195" s="182"/>
      <c r="L195" s="123"/>
      <c r="M195" s="123"/>
      <c r="N195" s="123"/>
      <c r="O195" s="123"/>
      <c r="P195" s="123"/>
      <c r="Q195" s="123"/>
      <c r="R195" s="123"/>
      <c r="S195" s="123"/>
      <c r="T195" s="123"/>
      <c r="U195" s="123"/>
      <c r="V195" s="123"/>
      <c r="W195" s="123"/>
      <c r="X195" s="123"/>
      <c r="Y195" s="123"/>
    </row>
    <row r="196" spans="1:25" ht="15.75" customHeight="1" x14ac:dyDescent="0.2">
      <c r="A196" s="182"/>
      <c r="B196" s="175"/>
      <c r="C196" s="176"/>
      <c r="D196" s="176"/>
      <c r="E196" s="176"/>
      <c r="F196" s="123"/>
      <c r="G196" s="123"/>
      <c r="H196" s="123"/>
      <c r="I196" s="123"/>
      <c r="J196" s="174"/>
      <c r="K196" s="182"/>
      <c r="L196" s="123"/>
      <c r="M196" s="123"/>
      <c r="N196" s="123"/>
      <c r="O196" s="123"/>
      <c r="P196" s="123"/>
      <c r="Q196" s="123"/>
      <c r="R196" s="123"/>
      <c r="S196" s="123"/>
      <c r="T196" s="123"/>
      <c r="U196" s="123"/>
      <c r="V196" s="123"/>
      <c r="W196" s="123"/>
      <c r="X196" s="123"/>
      <c r="Y196" s="123"/>
    </row>
    <row r="197" spans="1:25" ht="15.75" customHeight="1" x14ac:dyDescent="0.2">
      <c r="A197" s="182"/>
      <c r="B197" s="175"/>
      <c r="C197" s="176"/>
      <c r="D197" s="176"/>
      <c r="E197" s="176"/>
      <c r="F197" s="123"/>
      <c r="G197" s="123"/>
      <c r="H197" s="123"/>
      <c r="I197" s="123"/>
      <c r="J197" s="174"/>
      <c r="K197" s="182"/>
      <c r="L197" s="123"/>
      <c r="M197" s="123"/>
      <c r="N197" s="123"/>
      <c r="O197" s="123"/>
      <c r="P197" s="123"/>
      <c r="Q197" s="123"/>
      <c r="R197" s="123"/>
      <c r="S197" s="123"/>
      <c r="T197" s="123"/>
      <c r="U197" s="123"/>
      <c r="V197" s="123"/>
      <c r="W197" s="123"/>
      <c r="X197" s="123"/>
      <c r="Y197" s="123"/>
    </row>
    <row r="198" spans="1:25" ht="15.75" customHeight="1" x14ac:dyDescent="0.2">
      <c r="A198" s="182"/>
      <c r="B198" s="175"/>
      <c r="C198" s="176"/>
      <c r="D198" s="176"/>
      <c r="E198" s="176"/>
      <c r="F198" s="123"/>
      <c r="G198" s="123"/>
      <c r="H198" s="123"/>
      <c r="I198" s="123"/>
      <c r="J198" s="174"/>
      <c r="K198" s="182"/>
      <c r="L198" s="123"/>
      <c r="M198" s="123"/>
      <c r="N198" s="123"/>
      <c r="O198" s="123"/>
      <c r="P198" s="123"/>
      <c r="Q198" s="123"/>
      <c r="R198" s="123"/>
      <c r="S198" s="123"/>
      <c r="T198" s="123"/>
      <c r="U198" s="123"/>
      <c r="V198" s="123"/>
      <c r="W198" s="123"/>
      <c r="X198" s="123"/>
      <c r="Y198" s="123"/>
    </row>
    <row r="199" spans="1:25" ht="15.75" customHeight="1" x14ac:dyDescent="0.2">
      <c r="A199" s="182"/>
      <c r="B199" s="175"/>
      <c r="C199" s="176"/>
      <c r="D199" s="176"/>
      <c r="E199" s="176"/>
      <c r="F199" s="123"/>
      <c r="G199" s="123"/>
      <c r="H199" s="123"/>
      <c r="I199" s="123"/>
      <c r="J199" s="174"/>
      <c r="K199" s="182"/>
      <c r="L199" s="123"/>
      <c r="M199" s="123"/>
      <c r="N199" s="123"/>
      <c r="O199" s="123"/>
      <c r="P199" s="123"/>
      <c r="Q199" s="123"/>
      <c r="R199" s="123"/>
      <c r="S199" s="123"/>
      <c r="T199" s="123"/>
      <c r="U199" s="123"/>
      <c r="V199" s="123"/>
      <c r="W199" s="123"/>
      <c r="X199" s="123"/>
      <c r="Y199" s="123"/>
    </row>
    <row r="200" spans="1:25" ht="15.75" customHeight="1" x14ac:dyDescent="0.2">
      <c r="A200" s="182"/>
      <c r="B200" s="175"/>
      <c r="C200" s="176"/>
      <c r="D200" s="176"/>
      <c r="E200" s="176"/>
      <c r="F200" s="123"/>
      <c r="G200" s="123"/>
      <c r="H200" s="123"/>
      <c r="I200" s="123"/>
      <c r="J200" s="174"/>
      <c r="K200" s="182"/>
      <c r="L200" s="123"/>
      <c r="M200" s="123"/>
      <c r="N200" s="123"/>
      <c r="O200" s="123"/>
      <c r="P200" s="123"/>
      <c r="Q200" s="123"/>
      <c r="R200" s="123"/>
      <c r="S200" s="123"/>
      <c r="T200" s="123"/>
      <c r="U200" s="123"/>
      <c r="V200" s="123"/>
      <c r="W200" s="123"/>
      <c r="X200" s="123"/>
      <c r="Y200" s="123"/>
    </row>
    <row r="201" spans="1:25" ht="15.75" customHeight="1" x14ac:dyDescent="0.2">
      <c r="A201" s="182"/>
      <c r="B201" s="175"/>
      <c r="C201" s="176"/>
      <c r="D201" s="176"/>
      <c r="E201" s="176"/>
      <c r="F201" s="123"/>
      <c r="G201" s="123"/>
      <c r="H201" s="123"/>
      <c r="I201" s="123"/>
      <c r="J201" s="174"/>
      <c r="K201" s="182"/>
      <c r="L201" s="123"/>
      <c r="M201" s="123"/>
      <c r="N201" s="123"/>
      <c r="O201" s="123"/>
      <c r="P201" s="123"/>
      <c r="Q201" s="123"/>
      <c r="R201" s="123"/>
      <c r="S201" s="123"/>
      <c r="T201" s="123"/>
      <c r="U201" s="123"/>
      <c r="V201" s="123"/>
      <c r="W201" s="123"/>
      <c r="X201" s="123"/>
      <c r="Y201" s="123"/>
    </row>
    <row r="202" spans="1:25" ht="15.75" customHeight="1" x14ac:dyDescent="0.2">
      <c r="A202" s="182"/>
      <c r="B202" s="175"/>
      <c r="C202" s="176"/>
      <c r="D202" s="176"/>
      <c r="E202" s="176"/>
      <c r="F202" s="123"/>
      <c r="G202" s="123"/>
      <c r="H202" s="123"/>
      <c r="I202" s="123"/>
      <c r="J202" s="174"/>
      <c r="K202" s="182"/>
      <c r="L202" s="123"/>
      <c r="M202" s="123"/>
      <c r="N202" s="123"/>
      <c r="O202" s="123"/>
      <c r="P202" s="123"/>
      <c r="Q202" s="123"/>
      <c r="R202" s="123"/>
      <c r="S202" s="123"/>
      <c r="T202" s="123"/>
      <c r="U202" s="123"/>
      <c r="V202" s="123"/>
      <c r="W202" s="123"/>
      <c r="X202" s="123"/>
      <c r="Y202" s="123"/>
    </row>
    <row r="203" spans="1:25" ht="15.75" customHeight="1" x14ac:dyDescent="0.2">
      <c r="A203" s="182"/>
      <c r="B203" s="175"/>
      <c r="C203" s="176"/>
      <c r="D203" s="176"/>
      <c r="E203" s="176"/>
      <c r="F203" s="123"/>
      <c r="G203" s="123"/>
      <c r="H203" s="123"/>
      <c r="I203" s="123"/>
      <c r="J203" s="174"/>
      <c r="K203" s="182"/>
      <c r="L203" s="123"/>
      <c r="M203" s="123"/>
      <c r="N203" s="123"/>
      <c r="O203" s="123"/>
      <c r="P203" s="123"/>
      <c r="Q203" s="123"/>
      <c r="R203" s="123"/>
      <c r="S203" s="123"/>
      <c r="T203" s="123"/>
      <c r="U203" s="123"/>
      <c r="V203" s="123"/>
      <c r="W203" s="123"/>
      <c r="X203" s="123"/>
      <c r="Y203" s="123"/>
    </row>
    <row r="204" spans="1:25" ht="15.75" customHeight="1" x14ac:dyDescent="0.2">
      <c r="A204" s="182"/>
      <c r="B204" s="175"/>
      <c r="C204" s="176"/>
      <c r="D204" s="176"/>
      <c r="E204" s="176"/>
      <c r="F204" s="123"/>
      <c r="G204" s="123"/>
      <c r="H204" s="123"/>
      <c r="I204" s="123"/>
      <c r="J204" s="174"/>
      <c r="K204" s="182"/>
      <c r="L204" s="123"/>
      <c r="M204" s="123"/>
      <c r="N204" s="123"/>
      <c r="O204" s="123"/>
      <c r="P204" s="123"/>
      <c r="Q204" s="123"/>
      <c r="R204" s="123"/>
      <c r="S204" s="123"/>
      <c r="T204" s="123"/>
      <c r="U204" s="123"/>
      <c r="V204" s="123"/>
      <c r="W204" s="123"/>
      <c r="X204" s="123"/>
      <c r="Y204" s="123"/>
    </row>
    <row r="205" spans="1:25" ht="15.75" customHeight="1" x14ac:dyDescent="0.2">
      <c r="A205" s="182"/>
      <c r="B205" s="175"/>
      <c r="C205" s="176"/>
      <c r="D205" s="176"/>
      <c r="E205" s="176"/>
      <c r="F205" s="123"/>
      <c r="G205" s="123"/>
      <c r="H205" s="123"/>
      <c r="I205" s="123"/>
      <c r="J205" s="174"/>
      <c r="K205" s="182"/>
      <c r="L205" s="123"/>
      <c r="M205" s="123"/>
      <c r="N205" s="123"/>
      <c r="O205" s="123"/>
      <c r="P205" s="123"/>
      <c r="Q205" s="123"/>
      <c r="R205" s="123"/>
      <c r="S205" s="123"/>
      <c r="T205" s="123"/>
      <c r="U205" s="123"/>
      <c r="V205" s="123"/>
      <c r="W205" s="123"/>
      <c r="X205" s="123"/>
      <c r="Y205" s="123"/>
    </row>
    <row r="206" spans="1:25" ht="15.75" customHeight="1" x14ac:dyDescent="0.2">
      <c r="A206" s="182"/>
      <c r="B206" s="175"/>
      <c r="C206" s="176"/>
      <c r="D206" s="176"/>
      <c r="E206" s="176"/>
      <c r="F206" s="123"/>
      <c r="G206" s="123"/>
      <c r="H206" s="123"/>
      <c r="I206" s="123"/>
      <c r="J206" s="174"/>
      <c r="K206" s="182"/>
      <c r="L206" s="123"/>
      <c r="M206" s="123"/>
      <c r="N206" s="123"/>
      <c r="O206" s="123"/>
      <c r="P206" s="123"/>
      <c r="Q206" s="123"/>
      <c r="R206" s="123"/>
      <c r="S206" s="123"/>
      <c r="T206" s="123"/>
      <c r="U206" s="123"/>
      <c r="V206" s="123"/>
      <c r="W206" s="123"/>
      <c r="X206" s="123"/>
      <c r="Y206" s="123"/>
    </row>
    <row r="207" spans="1:25" ht="15.75" customHeight="1" x14ac:dyDescent="0.2">
      <c r="A207" s="182"/>
      <c r="B207" s="175"/>
      <c r="C207" s="176"/>
      <c r="D207" s="176"/>
      <c r="E207" s="176"/>
      <c r="F207" s="123"/>
      <c r="G207" s="123"/>
      <c r="H207" s="123"/>
      <c r="I207" s="123"/>
      <c r="J207" s="174"/>
      <c r="K207" s="182"/>
      <c r="L207" s="123"/>
      <c r="M207" s="123"/>
      <c r="N207" s="123"/>
      <c r="O207" s="123"/>
      <c r="P207" s="123"/>
      <c r="Q207" s="123"/>
      <c r="R207" s="123"/>
      <c r="S207" s="123"/>
      <c r="T207" s="123"/>
      <c r="U207" s="123"/>
      <c r="V207" s="123"/>
      <c r="W207" s="123"/>
      <c r="X207" s="123"/>
      <c r="Y207" s="123"/>
    </row>
    <row r="208" spans="1:25" ht="15.75" customHeight="1" x14ac:dyDescent="0.2">
      <c r="A208" s="182"/>
      <c r="B208" s="175"/>
      <c r="C208" s="176"/>
      <c r="D208" s="176"/>
      <c r="E208" s="176"/>
      <c r="F208" s="123"/>
      <c r="G208" s="123"/>
      <c r="H208" s="123"/>
      <c r="I208" s="123"/>
      <c r="J208" s="174"/>
      <c r="K208" s="182"/>
      <c r="L208" s="123"/>
      <c r="M208" s="123"/>
      <c r="N208" s="123"/>
      <c r="O208" s="123"/>
      <c r="P208" s="123"/>
      <c r="Q208" s="123"/>
      <c r="R208" s="123"/>
      <c r="S208" s="123"/>
      <c r="T208" s="123"/>
      <c r="U208" s="123"/>
      <c r="V208" s="123"/>
      <c r="W208" s="123"/>
      <c r="X208" s="123"/>
      <c r="Y208" s="123"/>
    </row>
    <row r="209" spans="1:25" ht="15.75" customHeight="1" x14ac:dyDescent="0.2">
      <c r="A209" s="182"/>
      <c r="B209" s="175"/>
      <c r="C209" s="176"/>
      <c r="D209" s="176"/>
      <c r="E209" s="176"/>
      <c r="F209" s="123"/>
      <c r="G209" s="123"/>
      <c r="H209" s="123"/>
      <c r="I209" s="123"/>
      <c r="J209" s="174"/>
      <c r="K209" s="182"/>
      <c r="L209" s="123"/>
      <c r="M209" s="123"/>
      <c r="N209" s="123"/>
      <c r="O209" s="123"/>
      <c r="P209" s="123"/>
      <c r="Q209" s="123"/>
      <c r="R209" s="123"/>
      <c r="S209" s="123"/>
      <c r="T209" s="123"/>
      <c r="U209" s="123"/>
      <c r="V209" s="123"/>
      <c r="W209" s="123"/>
      <c r="X209" s="123"/>
      <c r="Y209" s="123"/>
    </row>
    <row r="210" spans="1:25" ht="15.75" customHeight="1" x14ac:dyDescent="0.2">
      <c r="A210" s="182"/>
      <c r="B210" s="175"/>
      <c r="C210" s="176"/>
      <c r="D210" s="176"/>
      <c r="E210" s="176"/>
      <c r="F210" s="123"/>
      <c r="G210" s="123"/>
      <c r="H210" s="123"/>
      <c r="I210" s="123"/>
      <c r="J210" s="174"/>
      <c r="K210" s="182"/>
      <c r="L210" s="123"/>
      <c r="M210" s="123"/>
      <c r="N210" s="123"/>
      <c r="O210" s="123"/>
      <c r="P210" s="123"/>
      <c r="Q210" s="123"/>
      <c r="R210" s="123"/>
      <c r="S210" s="123"/>
      <c r="T210" s="123"/>
      <c r="U210" s="123"/>
      <c r="V210" s="123"/>
      <c r="W210" s="123"/>
      <c r="X210" s="123"/>
      <c r="Y210" s="123"/>
    </row>
    <row r="211" spans="1:25" ht="15.75" customHeight="1" x14ac:dyDescent="0.2">
      <c r="A211" s="182"/>
      <c r="B211" s="175"/>
      <c r="C211" s="176"/>
      <c r="D211" s="176"/>
      <c r="E211" s="176"/>
      <c r="F211" s="123"/>
      <c r="G211" s="123"/>
      <c r="H211" s="123"/>
      <c r="I211" s="123"/>
      <c r="J211" s="174"/>
      <c r="K211" s="182"/>
      <c r="L211" s="123"/>
      <c r="M211" s="123"/>
      <c r="N211" s="123"/>
      <c r="O211" s="123"/>
      <c r="P211" s="123"/>
      <c r="Q211" s="123"/>
      <c r="R211" s="123"/>
      <c r="S211" s="123"/>
      <c r="T211" s="123"/>
      <c r="U211" s="123"/>
      <c r="V211" s="123"/>
      <c r="W211" s="123"/>
      <c r="X211" s="123"/>
      <c r="Y211" s="123"/>
    </row>
    <row r="212" spans="1:25" ht="15.75" customHeight="1" x14ac:dyDescent="0.2">
      <c r="A212" s="182"/>
      <c r="B212" s="175"/>
      <c r="C212" s="176"/>
      <c r="D212" s="176"/>
      <c r="E212" s="176"/>
      <c r="F212" s="123"/>
      <c r="G212" s="123"/>
      <c r="H212" s="123"/>
      <c r="I212" s="123"/>
      <c r="J212" s="174"/>
      <c r="K212" s="182"/>
      <c r="L212" s="123"/>
      <c r="M212" s="123"/>
      <c r="N212" s="123"/>
      <c r="O212" s="123"/>
      <c r="P212" s="123"/>
      <c r="Q212" s="123"/>
      <c r="R212" s="123"/>
      <c r="S212" s="123"/>
      <c r="T212" s="123"/>
      <c r="U212" s="123"/>
      <c r="V212" s="123"/>
      <c r="W212" s="123"/>
      <c r="X212" s="123"/>
      <c r="Y212" s="123"/>
    </row>
    <row r="213" spans="1:25" ht="15.75" customHeight="1" x14ac:dyDescent="0.2">
      <c r="A213" s="182"/>
      <c r="B213" s="175"/>
      <c r="C213" s="176"/>
      <c r="D213" s="176"/>
      <c r="E213" s="176"/>
      <c r="F213" s="123"/>
      <c r="G213" s="123"/>
      <c r="H213" s="123"/>
      <c r="I213" s="123"/>
      <c r="J213" s="174"/>
      <c r="K213" s="182"/>
      <c r="L213" s="123"/>
      <c r="M213" s="123"/>
      <c r="N213" s="123"/>
      <c r="O213" s="123"/>
      <c r="P213" s="123"/>
      <c r="Q213" s="123"/>
      <c r="R213" s="123"/>
      <c r="S213" s="123"/>
      <c r="T213" s="123"/>
      <c r="U213" s="123"/>
      <c r="V213" s="123"/>
      <c r="W213" s="123"/>
      <c r="X213" s="123"/>
      <c r="Y213" s="123"/>
    </row>
    <row r="214" spans="1:25" ht="15.75" customHeight="1" x14ac:dyDescent="0.2">
      <c r="A214" s="182"/>
      <c r="B214" s="175"/>
      <c r="C214" s="176"/>
      <c r="D214" s="176"/>
      <c r="E214" s="176"/>
      <c r="F214" s="123"/>
      <c r="G214" s="123"/>
      <c r="H214" s="123"/>
      <c r="I214" s="123"/>
      <c r="J214" s="174"/>
      <c r="K214" s="182"/>
      <c r="L214" s="123"/>
      <c r="M214" s="123"/>
      <c r="N214" s="123"/>
      <c r="O214" s="123"/>
      <c r="P214" s="123"/>
      <c r="Q214" s="123"/>
      <c r="R214" s="123"/>
      <c r="S214" s="123"/>
      <c r="T214" s="123"/>
      <c r="U214" s="123"/>
      <c r="V214" s="123"/>
      <c r="W214" s="123"/>
      <c r="X214" s="123"/>
      <c r="Y214" s="123"/>
    </row>
    <row r="215" spans="1:25" ht="15.75" customHeight="1" x14ac:dyDescent="0.2">
      <c r="A215" s="182"/>
      <c r="B215" s="175"/>
      <c r="C215" s="176"/>
      <c r="D215" s="176"/>
      <c r="E215" s="176"/>
      <c r="F215" s="123"/>
      <c r="G215" s="123"/>
      <c r="H215" s="123"/>
      <c r="I215" s="123"/>
      <c r="J215" s="174"/>
      <c r="K215" s="182"/>
      <c r="L215" s="123"/>
      <c r="M215" s="123"/>
      <c r="N215" s="123"/>
      <c r="O215" s="123"/>
      <c r="P215" s="123"/>
      <c r="Q215" s="123"/>
      <c r="R215" s="123"/>
      <c r="S215" s="123"/>
      <c r="T215" s="123"/>
      <c r="U215" s="123"/>
      <c r="V215" s="123"/>
      <c r="W215" s="123"/>
      <c r="X215" s="123"/>
      <c r="Y215" s="123"/>
    </row>
    <row r="216" spans="1:25" ht="15.75" customHeight="1" x14ac:dyDescent="0.2">
      <c r="A216" s="182"/>
      <c r="B216" s="175"/>
      <c r="C216" s="176"/>
      <c r="D216" s="176"/>
      <c r="E216" s="176"/>
      <c r="F216" s="123"/>
      <c r="G216" s="123"/>
      <c r="H216" s="123"/>
      <c r="I216" s="123"/>
      <c r="J216" s="174"/>
      <c r="K216" s="182"/>
      <c r="L216" s="123"/>
      <c r="M216" s="123"/>
      <c r="N216" s="123"/>
      <c r="O216" s="123"/>
      <c r="P216" s="123"/>
      <c r="Q216" s="123"/>
      <c r="R216" s="123"/>
      <c r="S216" s="123"/>
      <c r="T216" s="123"/>
      <c r="U216" s="123"/>
      <c r="V216" s="123"/>
      <c r="W216" s="123"/>
      <c r="X216" s="123"/>
      <c r="Y216" s="123"/>
    </row>
    <row r="217" spans="1:25" ht="15.75" customHeight="1" x14ac:dyDescent="0.2">
      <c r="A217" s="182"/>
      <c r="B217" s="175"/>
      <c r="C217" s="176"/>
      <c r="D217" s="176"/>
      <c r="E217" s="176"/>
      <c r="F217" s="123"/>
      <c r="G217" s="123"/>
      <c r="H217" s="123"/>
      <c r="I217" s="123"/>
      <c r="J217" s="174"/>
      <c r="K217" s="182"/>
      <c r="L217" s="123"/>
      <c r="M217" s="123"/>
      <c r="N217" s="123"/>
      <c r="O217" s="123"/>
      <c r="P217" s="123"/>
      <c r="Q217" s="123"/>
      <c r="R217" s="123"/>
      <c r="S217" s="123"/>
      <c r="T217" s="123"/>
      <c r="U217" s="123"/>
      <c r="V217" s="123"/>
      <c r="W217" s="123"/>
      <c r="X217" s="123"/>
      <c r="Y217" s="123"/>
    </row>
    <row r="218" spans="1:25" ht="15.75" customHeight="1" x14ac:dyDescent="0.2">
      <c r="A218" s="182"/>
      <c r="B218" s="175"/>
      <c r="C218" s="176"/>
      <c r="D218" s="176"/>
      <c r="E218" s="176"/>
      <c r="F218" s="123"/>
      <c r="G218" s="123"/>
      <c r="H218" s="123"/>
      <c r="I218" s="123"/>
      <c r="J218" s="174"/>
      <c r="K218" s="182"/>
      <c r="L218" s="123"/>
      <c r="M218" s="123"/>
      <c r="N218" s="123"/>
      <c r="O218" s="123"/>
      <c r="P218" s="123"/>
      <c r="Q218" s="123"/>
      <c r="R218" s="123"/>
      <c r="S218" s="123"/>
      <c r="T218" s="123"/>
      <c r="U218" s="123"/>
      <c r="V218" s="123"/>
      <c r="W218" s="123"/>
      <c r="X218" s="123"/>
      <c r="Y218" s="123"/>
    </row>
    <row r="219" spans="1:25" ht="15.75" customHeight="1" x14ac:dyDescent="0.2">
      <c r="A219" s="182"/>
      <c r="B219" s="175"/>
      <c r="C219" s="176"/>
      <c r="D219" s="176"/>
      <c r="E219" s="176"/>
      <c r="F219" s="123"/>
      <c r="G219" s="123"/>
      <c r="H219" s="123"/>
      <c r="I219" s="123"/>
      <c r="J219" s="174"/>
      <c r="K219" s="182"/>
      <c r="L219" s="123"/>
      <c r="M219" s="123"/>
      <c r="N219" s="123"/>
      <c r="O219" s="123"/>
      <c r="P219" s="123"/>
      <c r="Q219" s="123"/>
      <c r="R219" s="123"/>
      <c r="S219" s="123"/>
      <c r="T219" s="123"/>
      <c r="U219" s="123"/>
      <c r="V219" s="123"/>
      <c r="W219" s="123"/>
      <c r="X219" s="123"/>
      <c r="Y219" s="123"/>
    </row>
    <row r="220" spans="1:25" ht="15.75" customHeight="1" x14ac:dyDescent="0.2">
      <c r="A220" s="182"/>
      <c r="B220" s="175"/>
      <c r="C220" s="176"/>
      <c r="D220" s="176"/>
      <c r="E220" s="176"/>
      <c r="F220" s="123"/>
      <c r="G220" s="123"/>
      <c r="H220" s="123"/>
      <c r="I220" s="123"/>
      <c r="J220" s="174"/>
      <c r="K220" s="182"/>
      <c r="L220" s="123"/>
      <c r="M220" s="123"/>
      <c r="N220" s="123"/>
      <c r="O220" s="123"/>
      <c r="P220" s="123"/>
      <c r="Q220" s="123"/>
      <c r="R220" s="123"/>
      <c r="S220" s="123"/>
      <c r="T220" s="123"/>
      <c r="U220" s="123"/>
      <c r="V220" s="123"/>
      <c r="W220" s="123"/>
      <c r="X220" s="123"/>
      <c r="Y220" s="123"/>
    </row>
    <row r="221" spans="1:25" ht="15.75" customHeight="1" x14ac:dyDescent="0.2">
      <c r="A221" s="182"/>
      <c r="B221" s="175"/>
      <c r="C221" s="176"/>
      <c r="D221" s="176"/>
      <c r="E221" s="176"/>
      <c r="F221" s="123"/>
      <c r="G221" s="123"/>
      <c r="H221" s="123"/>
      <c r="I221" s="123"/>
      <c r="J221" s="174"/>
      <c r="K221" s="182"/>
      <c r="L221" s="123"/>
      <c r="M221" s="123"/>
      <c r="N221" s="123"/>
      <c r="O221" s="123"/>
      <c r="P221" s="123"/>
      <c r="Q221" s="123"/>
      <c r="R221" s="123"/>
      <c r="S221" s="123"/>
      <c r="T221" s="123"/>
      <c r="U221" s="123"/>
      <c r="V221" s="123"/>
      <c r="W221" s="123"/>
      <c r="X221" s="123"/>
      <c r="Y221" s="123"/>
    </row>
    <row r="222" spans="1:25" ht="15.75" customHeight="1" x14ac:dyDescent="0.2">
      <c r="A222" s="182"/>
      <c r="B222" s="175"/>
      <c r="C222" s="176"/>
      <c r="D222" s="176"/>
      <c r="E222" s="176"/>
      <c r="F222" s="123"/>
      <c r="G222" s="123"/>
      <c r="H222" s="123"/>
      <c r="I222" s="123"/>
      <c r="J222" s="174"/>
      <c r="K222" s="182"/>
      <c r="L222" s="123"/>
      <c r="M222" s="123"/>
      <c r="N222" s="123"/>
      <c r="O222" s="123"/>
      <c r="P222" s="123"/>
      <c r="Q222" s="123"/>
      <c r="R222" s="123"/>
      <c r="S222" s="123"/>
      <c r="T222" s="123"/>
      <c r="U222" s="123"/>
      <c r="V222" s="123"/>
      <c r="W222" s="123"/>
      <c r="X222" s="123"/>
      <c r="Y222" s="123"/>
    </row>
    <row r="223" spans="1:25" ht="15.75" customHeight="1" x14ac:dyDescent="0.2">
      <c r="A223" s="182"/>
      <c r="B223" s="175"/>
      <c r="C223" s="176"/>
      <c r="D223" s="176"/>
      <c r="E223" s="176"/>
      <c r="F223" s="123"/>
      <c r="G223" s="123"/>
      <c r="H223" s="123"/>
      <c r="I223" s="123"/>
      <c r="J223" s="174"/>
      <c r="K223" s="182"/>
      <c r="L223" s="123"/>
      <c r="M223" s="123"/>
      <c r="N223" s="123"/>
      <c r="O223" s="123"/>
      <c r="P223" s="123"/>
      <c r="Q223" s="123"/>
      <c r="R223" s="123"/>
      <c r="S223" s="123"/>
      <c r="T223" s="123"/>
      <c r="U223" s="123"/>
      <c r="V223" s="123"/>
      <c r="W223" s="123"/>
      <c r="X223" s="123"/>
      <c r="Y223" s="123"/>
    </row>
    <row r="224" spans="1:25" ht="15.75" customHeight="1" x14ac:dyDescent="0.2">
      <c r="A224" s="182"/>
      <c r="B224" s="175"/>
      <c r="C224" s="176"/>
      <c r="D224" s="176"/>
      <c r="E224" s="176"/>
      <c r="F224" s="123"/>
      <c r="G224" s="123"/>
      <c r="H224" s="123"/>
      <c r="I224" s="123"/>
      <c r="J224" s="174"/>
      <c r="K224" s="182"/>
      <c r="L224" s="123"/>
      <c r="M224" s="123"/>
      <c r="N224" s="123"/>
      <c r="O224" s="123"/>
      <c r="P224" s="123"/>
      <c r="Q224" s="123"/>
      <c r="R224" s="123"/>
      <c r="S224" s="123"/>
      <c r="T224" s="123"/>
      <c r="U224" s="123"/>
      <c r="V224" s="123"/>
      <c r="W224" s="123"/>
      <c r="X224" s="123"/>
      <c r="Y224" s="123"/>
    </row>
    <row r="225" spans="1:25" ht="15.75" customHeight="1" x14ac:dyDescent="0.2">
      <c r="A225" s="182"/>
      <c r="B225" s="175"/>
      <c r="C225" s="176"/>
      <c r="D225" s="176"/>
      <c r="E225" s="176"/>
      <c r="F225" s="123"/>
      <c r="G225" s="123"/>
      <c r="H225" s="123"/>
      <c r="I225" s="123"/>
      <c r="J225" s="174"/>
      <c r="K225" s="182"/>
      <c r="L225" s="123"/>
      <c r="M225" s="123"/>
      <c r="N225" s="123"/>
      <c r="O225" s="123"/>
      <c r="P225" s="123"/>
      <c r="Q225" s="123"/>
      <c r="R225" s="123"/>
      <c r="S225" s="123"/>
      <c r="T225" s="123"/>
      <c r="U225" s="123"/>
      <c r="V225" s="123"/>
      <c r="W225" s="123"/>
      <c r="X225" s="123"/>
      <c r="Y225" s="123"/>
    </row>
    <row r="226" spans="1:25" ht="15.75" customHeight="1" x14ac:dyDescent="0.2">
      <c r="A226" s="182"/>
      <c r="B226" s="175"/>
      <c r="C226" s="176"/>
      <c r="D226" s="176"/>
      <c r="E226" s="176"/>
      <c r="F226" s="123"/>
      <c r="G226" s="123"/>
      <c r="H226" s="123"/>
      <c r="I226" s="123"/>
      <c r="J226" s="174"/>
      <c r="K226" s="182"/>
      <c r="L226" s="123"/>
      <c r="M226" s="123"/>
      <c r="N226" s="123"/>
      <c r="O226" s="123"/>
      <c r="P226" s="123"/>
      <c r="Q226" s="123"/>
      <c r="R226" s="123"/>
      <c r="S226" s="123"/>
      <c r="T226" s="123"/>
      <c r="U226" s="123"/>
      <c r="V226" s="123"/>
      <c r="W226" s="123"/>
      <c r="X226" s="123"/>
      <c r="Y226" s="123"/>
    </row>
    <row r="227" spans="1:25" ht="15.75" customHeight="1" x14ac:dyDescent="0.2">
      <c r="A227" s="182"/>
      <c r="B227" s="175"/>
      <c r="C227" s="176"/>
      <c r="D227" s="176"/>
      <c r="E227" s="176"/>
      <c r="F227" s="123"/>
      <c r="G227" s="123"/>
      <c r="H227" s="123"/>
      <c r="I227" s="123"/>
      <c r="J227" s="174"/>
      <c r="K227" s="182"/>
      <c r="L227" s="123"/>
      <c r="M227" s="123"/>
      <c r="N227" s="123"/>
      <c r="O227" s="123"/>
      <c r="P227" s="123"/>
      <c r="Q227" s="123"/>
      <c r="R227" s="123"/>
      <c r="S227" s="123"/>
      <c r="T227" s="123"/>
      <c r="U227" s="123"/>
      <c r="V227" s="123"/>
      <c r="W227" s="123"/>
      <c r="X227" s="123"/>
      <c r="Y227" s="123"/>
    </row>
    <row r="228" spans="1:25" ht="15.75" customHeight="1" x14ac:dyDescent="0.2">
      <c r="A228" s="182"/>
      <c r="B228" s="175"/>
      <c r="C228" s="176"/>
      <c r="D228" s="176"/>
      <c r="E228" s="176"/>
      <c r="F228" s="123"/>
      <c r="G228" s="123"/>
      <c r="H228" s="123"/>
      <c r="I228" s="123"/>
      <c r="J228" s="174"/>
      <c r="K228" s="182"/>
      <c r="L228" s="123"/>
      <c r="M228" s="123"/>
      <c r="N228" s="123"/>
      <c r="O228" s="123"/>
      <c r="P228" s="123"/>
      <c r="Q228" s="123"/>
      <c r="R228" s="123"/>
      <c r="S228" s="123"/>
      <c r="T228" s="123"/>
      <c r="U228" s="123"/>
      <c r="V228" s="123"/>
      <c r="W228" s="123"/>
      <c r="X228" s="123"/>
      <c r="Y228" s="123"/>
    </row>
    <row r="229" spans="1:25" ht="15.75" customHeight="1" x14ac:dyDescent="0.2">
      <c r="A229" s="182"/>
      <c r="B229" s="175"/>
      <c r="C229" s="176"/>
      <c r="D229" s="176"/>
      <c r="E229" s="176"/>
      <c r="F229" s="123"/>
      <c r="G229" s="123"/>
      <c r="H229" s="123"/>
      <c r="I229" s="123"/>
      <c r="J229" s="174"/>
      <c r="K229" s="182"/>
      <c r="L229" s="123"/>
      <c r="M229" s="123"/>
      <c r="N229" s="123"/>
      <c r="O229" s="123"/>
      <c r="P229" s="123"/>
      <c r="Q229" s="123"/>
      <c r="R229" s="123"/>
      <c r="S229" s="123"/>
      <c r="T229" s="123"/>
      <c r="U229" s="123"/>
      <c r="V229" s="123"/>
      <c r="W229" s="123"/>
      <c r="X229" s="123"/>
      <c r="Y229" s="123"/>
    </row>
    <row r="230" spans="1:25" ht="15.75" customHeight="1" x14ac:dyDescent="0.2">
      <c r="A230" s="182"/>
      <c r="B230" s="175"/>
      <c r="C230" s="176"/>
      <c r="D230" s="176"/>
      <c r="E230" s="176"/>
      <c r="F230" s="123"/>
      <c r="G230" s="123"/>
      <c r="H230" s="123"/>
      <c r="I230" s="123"/>
      <c r="J230" s="174"/>
      <c r="K230" s="182"/>
      <c r="L230" s="123"/>
      <c r="M230" s="123"/>
      <c r="N230" s="123"/>
      <c r="O230" s="123"/>
      <c r="P230" s="123"/>
      <c r="Q230" s="123"/>
      <c r="R230" s="123"/>
      <c r="S230" s="123"/>
      <c r="T230" s="123"/>
      <c r="U230" s="123"/>
      <c r="V230" s="123"/>
      <c r="W230" s="123"/>
      <c r="X230" s="123"/>
      <c r="Y230" s="123"/>
    </row>
    <row r="231" spans="1:25" ht="15.75" customHeight="1" x14ac:dyDescent="0.2">
      <c r="A231" s="182"/>
      <c r="B231" s="175"/>
      <c r="C231" s="176"/>
      <c r="D231" s="176"/>
      <c r="E231" s="176"/>
      <c r="F231" s="123"/>
      <c r="G231" s="123"/>
      <c r="H231" s="123"/>
      <c r="I231" s="123"/>
      <c r="J231" s="174"/>
      <c r="K231" s="182"/>
      <c r="L231" s="123"/>
      <c r="M231" s="123"/>
      <c r="N231" s="123"/>
      <c r="O231" s="123"/>
      <c r="P231" s="123"/>
      <c r="Q231" s="123"/>
      <c r="R231" s="123"/>
      <c r="S231" s="123"/>
      <c r="T231" s="123"/>
      <c r="U231" s="123"/>
      <c r="V231" s="123"/>
      <c r="W231" s="123"/>
      <c r="X231" s="123"/>
      <c r="Y231" s="123"/>
    </row>
    <row r="232" spans="1:25" ht="15.75" customHeight="1" x14ac:dyDescent="0.2">
      <c r="A232" s="182"/>
      <c r="B232" s="175"/>
      <c r="C232" s="176"/>
      <c r="D232" s="176"/>
      <c r="E232" s="176"/>
      <c r="F232" s="123"/>
      <c r="G232" s="123"/>
      <c r="H232" s="123"/>
      <c r="I232" s="123"/>
      <c r="J232" s="174"/>
      <c r="K232" s="182"/>
      <c r="L232" s="123"/>
      <c r="M232" s="123"/>
      <c r="N232" s="123"/>
      <c r="O232" s="123"/>
      <c r="P232" s="123"/>
      <c r="Q232" s="123"/>
      <c r="R232" s="123"/>
      <c r="S232" s="123"/>
      <c r="T232" s="123"/>
      <c r="U232" s="123"/>
      <c r="V232" s="123"/>
      <c r="W232" s="123"/>
      <c r="X232" s="123"/>
      <c r="Y232" s="123"/>
    </row>
    <row r="233" spans="1:25" ht="15.75" customHeight="1" x14ac:dyDescent="0.2">
      <c r="A233" s="182"/>
      <c r="B233" s="175"/>
      <c r="C233" s="176"/>
      <c r="D233" s="176"/>
      <c r="E233" s="176"/>
      <c r="F233" s="123"/>
      <c r="G233" s="123"/>
      <c r="H233" s="123"/>
      <c r="I233" s="123"/>
      <c r="J233" s="174"/>
      <c r="K233" s="182"/>
      <c r="L233" s="123"/>
      <c r="M233" s="123"/>
      <c r="N233" s="123"/>
      <c r="O233" s="123"/>
      <c r="P233" s="123"/>
      <c r="Q233" s="123"/>
      <c r="R233" s="123"/>
      <c r="S233" s="123"/>
      <c r="T233" s="123"/>
      <c r="U233" s="123"/>
      <c r="V233" s="123"/>
      <c r="W233" s="123"/>
      <c r="X233" s="123"/>
      <c r="Y233" s="123"/>
    </row>
    <row r="234" spans="1:25" ht="15.75" customHeight="1" x14ac:dyDescent="0.2">
      <c r="A234" s="182"/>
      <c r="B234" s="175"/>
      <c r="C234" s="176"/>
      <c r="D234" s="176"/>
      <c r="E234" s="176"/>
      <c r="F234" s="123"/>
      <c r="G234" s="123"/>
      <c r="H234" s="123"/>
      <c r="I234" s="123"/>
      <c r="J234" s="174"/>
      <c r="K234" s="182"/>
      <c r="L234" s="123"/>
      <c r="M234" s="123"/>
      <c r="N234" s="123"/>
      <c r="O234" s="123"/>
      <c r="P234" s="123"/>
      <c r="Q234" s="123"/>
      <c r="R234" s="123"/>
      <c r="S234" s="123"/>
      <c r="T234" s="123"/>
      <c r="U234" s="123"/>
      <c r="V234" s="123"/>
      <c r="W234" s="123"/>
      <c r="X234" s="123"/>
      <c r="Y234" s="123"/>
    </row>
    <row r="235" spans="1:25" ht="15.75" customHeight="1" x14ac:dyDescent="0.2">
      <c r="A235" s="182"/>
      <c r="B235" s="175"/>
      <c r="C235" s="176"/>
      <c r="D235" s="176"/>
      <c r="E235" s="176"/>
      <c r="F235" s="123"/>
      <c r="G235" s="123"/>
      <c r="H235" s="123"/>
      <c r="I235" s="123"/>
      <c r="J235" s="174"/>
      <c r="K235" s="182"/>
      <c r="L235" s="123"/>
      <c r="M235" s="123"/>
      <c r="N235" s="123"/>
      <c r="O235" s="123"/>
      <c r="P235" s="123"/>
      <c r="Q235" s="123"/>
      <c r="R235" s="123"/>
      <c r="S235" s="123"/>
      <c r="T235" s="123"/>
      <c r="U235" s="123"/>
      <c r="V235" s="123"/>
      <c r="W235" s="123"/>
      <c r="X235" s="123"/>
      <c r="Y235" s="123"/>
    </row>
    <row r="236" spans="1:25" ht="15.75" customHeight="1" x14ac:dyDescent="0.2">
      <c r="A236" s="182"/>
      <c r="B236" s="175"/>
      <c r="C236" s="176"/>
      <c r="D236" s="176"/>
      <c r="E236" s="176"/>
      <c r="F236" s="123"/>
      <c r="G236" s="123"/>
      <c r="H236" s="123"/>
      <c r="I236" s="123"/>
      <c r="J236" s="174"/>
      <c r="K236" s="182"/>
      <c r="L236" s="123"/>
      <c r="M236" s="123"/>
      <c r="N236" s="123"/>
      <c r="O236" s="123"/>
      <c r="P236" s="123"/>
      <c r="Q236" s="123"/>
      <c r="R236" s="123"/>
      <c r="S236" s="123"/>
      <c r="T236" s="123"/>
      <c r="U236" s="123"/>
      <c r="V236" s="123"/>
      <c r="W236" s="123"/>
      <c r="X236" s="123"/>
      <c r="Y236" s="123"/>
    </row>
    <row r="237" spans="1:25" ht="15.75" customHeight="1" x14ac:dyDescent="0.2">
      <c r="A237" s="182"/>
      <c r="B237" s="175"/>
      <c r="C237" s="176"/>
      <c r="D237" s="176"/>
      <c r="E237" s="176"/>
      <c r="F237" s="123"/>
      <c r="G237" s="123"/>
      <c r="H237" s="123"/>
      <c r="I237" s="123"/>
      <c r="J237" s="174"/>
      <c r="K237" s="182"/>
      <c r="L237" s="123"/>
      <c r="M237" s="123"/>
      <c r="N237" s="123"/>
      <c r="O237" s="123"/>
      <c r="P237" s="123"/>
      <c r="Q237" s="123"/>
      <c r="R237" s="123"/>
      <c r="S237" s="123"/>
      <c r="T237" s="123"/>
      <c r="U237" s="123"/>
      <c r="V237" s="123"/>
      <c r="W237" s="123"/>
      <c r="X237" s="123"/>
      <c r="Y237" s="123"/>
    </row>
    <row r="238" spans="1:25" ht="15.75" customHeight="1" x14ac:dyDescent="0.2">
      <c r="A238" s="182"/>
      <c r="B238" s="175"/>
      <c r="C238" s="176"/>
      <c r="D238" s="176"/>
      <c r="E238" s="176"/>
      <c r="F238" s="123"/>
      <c r="G238" s="123"/>
      <c r="H238" s="123"/>
      <c r="I238" s="123"/>
      <c r="J238" s="174"/>
      <c r="K238" s="182"/>
      <c r="L238" s="123"/>
      <c r="M238" s="123"/>
      <c r="N238" s="123"/>
      <c r="O238" s="123"/>
      <c r="P238" s="123"/>
      <c r="Q238" s="123"/>
      <c r="R238" s="123"/>
      <c r="S238" s="123"/>
      <c r="T238" s="123"/>
      <c r="U238" s="123"/>
      <c r="V238" s="123"/>
      <c r="W238" s="123"/>
      <c r="X238" s="123"/>
      <c r="Y238" s="123"/>
    </row>
    <row r="239" spans="1:25" ht="15.75" customHeight="1" x14ac:dyDescent="0.2">
      <c r="A239" s="182"/>
      <c r="B239" s="175"/>
      <c r="C239" s="176"/>
      <c r="D239" s="176"/>
      <c r="E239" s="176"/>
      <c r="F239" s="123"/>
      <c r="G239" s="123"/>
      <c r="H239" s="123"/>
      <c r="I239" s="123"/>
      <c r="J239" s="174"/>
      <c r="K239" s="182"/>
      <c r="L239" s="123"/>
      <c r="M239" s="123"/>
      <c r="N239" s="123"/>
      <c r="O239" s="123"/>
      <c r="P239" s="123"/>
      <c r="Q239" s="123"/>
      <c r="R239" s="123"/>
      <c r="S239" s="123"/>
      <c r="T239" s="123"/>
      <c r="U239" s="123"/>
      <c r="V239" s="123"/>
      <c r="W239" s="123"/>
      <c r="X239" s="123"/>
      <c r="Y239" s="123"/>
    </row>
    <row r="240" spans="1:25" ht="15.75" customHeight="1" x14ac:dyDescent="0.2">
      <c r="A240" s="182"/>
      <c r="B240" s="175"/>
      <c r="C240" s="176"/>
      <c r="D240" s="176"/>
      <c r="E240" s="176"/>
      <c r="F240" s="123"/>
      <c r="G240" s="123"/>
      <c r="H240" s="123"/>
      <c r="I240" s="123"/>
      <c r="J240" s="174"/>
      <c r="K240" s="182"/>
      <c r="L240" s="123"/>
      <c r="M240" s="123"/>
      <c r="N240" s="123"/>
      <c r="O240" s="123"/>
      <c r="P240" s="123"/>
      <c r="Q240" s="123"/>
      <c r="R240" s="123"/>
      <c r="S240" s="123"/>
      <c r="T240" s="123"/>
      <c r="U240" s="123"/>
      <c r="V240" s="123"/>
      <c r="W240" s="123"/>
      <c r="X240" s="123"/>
      <c r="Y240" s="123"/>
    </row>
    <row r="241" spans="1:25" ht="15.75" customHeight="1" x14ac:dyDescent="0.2">
      <c r="A241" s="182"/>
      <c r="B241" s="175"/>
      <c r="C241" s="176"/>
      <c r="D241" s="176"/>
      <c r="E241" s="176"/>
      <c r="F241" s="123"/>
      <c r="G241" s="123"/>
      <c r="H241" s="123"/>
      <c r="I241" s="123"/>
      <c r="J241" s="174"/>
      <c r="K241" s="182"/>
      <c r="L241" s="123"/>
      <c r="M241" s="123"/>
      <c r="N241" s="123"/>
      <c r="O241" s="123"/>
      <c r="P241" s="123"/>
      <c r="Q241" s="123"/>
      <c r="R241" s="123"/>
      <c r="S241" s="123"/>
      <c r="T241" s="123"/>
      <c r="U241" s="123"/>
      <c r="V241" s="123"/>
      <c r="W241" s="123"/>
      <c r="X241" s="123"/>
      <c r="Y241" s="123"/>
    </row>
    <row r="242" spans="1:25" ht="15.75" customHeight="1" x14ac:dyDescent="0.2">
      <c r="A242" s="182"/>
      <c r="B242" s="175"/>
      <c r="C242" s="176"/>
      <c r="D242" s="176"/>
      <c r="E242" s="176"/>
      <c r="F242" s="123"/>
      <c r="G242" s="123"/>
      <c r="H242" s="123"/>
      <c r="I242" s="123"/>
      <c r="J242" s="174"/>
      <c r="K242" s="182"/>
      <c r="L242" s="123"/>
      <c r="M242" s="123"/>
      <c r="N242" s="123"/>
      <c r="O242" s="123"/>
      <c r="P242" s="123"/>
      <c r="Q242" s="123"/>
      <c r="R242" s="123"/>
      <c r="S242" s="123"/>
      <c r="T242" s="123"/>
      <c r="U242" s="123"/>
      <c r="V242" s="123"/>
      <c r="W242" s="123"/>
      <c r="X242" s="123"/>
      <c r="Y242" s="123"/>
    </row>
    <row r="243" spans="1:25" ht="15.75" customHeight="1" x14ac:dyDescent="0.2">
      <c r="A243" s="182"/>
      <c r="B243" s="175"/>
      <c r="C243" s="176"/>
      <c r="D243" s="176"/>
      <c r="E243" s="176"/>
      <c r="F243" s="123"/>
      <c r="G243" s="123"/>
      <c r="H243" s="123"/>
      <c r="I243" s="123"/>
      <c r="J243" s="174"/>
      <c r="K243" s="182"/>
      <c r="L243" s="123"/>
      <c r="M243" s="123"/>
      <c r="N243" s="123"/>
      <c r="O243" s="123"/>
      <c r="P243" s="123"/>
      <c r="Q243" s="123"/>
      <c r="R243" s="123"/>
      <c r="S243" s="123"/>
      <c r="T243" s="123"/>
      <c r="U243" s="123"/>
      <c r="V243" s="123"/>
      <c r="W243" s="123"/>
      <c r="X243" s="123"/>
      <c r="Y243" s="123"/>
    </row>
    <row r="244" spans="1:25" ht="15.75" customHeight="1" x14ac:dyDescent="0.2">
      <c r="A244" s="182"/>
      <c r="B244" s="175"/>
      <c r="C244" s="176"/>
      <c r="D244" s="176"/>
      <c r="E244" s="176"/>
      <c r="F244" s="123"/>
      <c r="G244" s="123"/>
      <c r="H244" s="123"/>
      <c r="I244" s="123"/>
      <c r="J244" s="174"/>
      <c r="K244" s="182"/>
      <c r="L244" s="123"/>
      <c r="M244" s="123"/>
      <c r="N244" s="123"/>
      <c r="O244" s="123"/>
      <c r="P244" s="123"/>
      <c r="Q244" s="123"/>
      <c r="R244" s="123"/>
      <c r="S244" s="123"/>
      <c r="T244" s="123"/>
      <c r="U244" s="123"/>
      <c r="V244" s="123"/>
      <c r="W244" s="123"/>
      <c r="X244" s="123"/>
      <c r="Y244" s="123"/>
    </row>
    <row r="245" spans="1:25" ht="15.75" customHeight="1" x14ac:dyDescent="0.2">
      <c r="A245" s="182"/>
      <c r="B245" s="175"/>
      <c r="C245" s="176"/>
      <c r="D245" s="176"/>
      <c r="E245" s="176"/>
      <c r="F245" s="123"/>
      <c r="G245" s="123"/>
      <c r="H245" s="123"/>
      <c r="I245" s="123"/>
      <c r="J245" s="174"/>
      <c r="K245" s="182"/>
      <c r="L245" s="123"/>
      <c r="M245" s="123"/>
      <c r="N245" s="123"/>
      <c r="O245" s="123"/>
      <c r="P245" s="123"/>
      <c r="Q245" s="123"/>
      <c r="R245" s="123"/>
      <c r="S245" s="123"/>
      <c r="T245" s="123"/>
      <c r="U245" s="123"/>
      <c r="V245" s="123"/>
      <c r="W245" s="123"/>
      <c r="X245" s="123"/>
      <c r="Y245" s="123"/>
    </row>
    <row r="246" spans="1:25" ht="15.75" customHeight="1" x14ac:dyDescent="0.2">
      <c r="A246" s="182"/>
      <c r="B246" s="175"/>
      <c r="C246" s="176"/>
      <c r="D246" s="176"/>
      <c r="E246" s="176"/>
      <c r="F246" s="123"/>
      <c r="G246" s="123"/>
      <c r="H246" s="123"/>
      <c r="I246" s="123"/>
      <c r="J246" s="174"/>
      <c r="K246" s="182"/>
      <c r="L246" s="123"/>
      <c r="M246" s="123"/>
      <c r="N246" s="123"/>
      <c r="O246" s="123"/>
      <c r="P246" s="123"/>
      <c r="Q246" s="123"/>
      <c r="R246" s="123"/>
      <c r="S246" s="123"/>
      <c r="T246" s="123"/>
      <c r="U246" s="123"/>
      <c r="V246" s="123"/>
      <c r="W246" s="123"/>
      <c r="X246" s="123"/>
      <c r="Y246" s="123"/>
    </row>
    <row r="247" spans="1:25" ht="15.75" customHeight="1" x14ac:dyDescent="0.2">
      <c r="A247" s="182"/>
      <c r="B247" s="175"/>
      <c r="C247" s="176"/>
      <c r="D247" s="176"/>
      <c r="E247" s="176"/>
      <c r="F247" s="123"/>
      <c r="G247" s="123"/>
      <c r="H247" s="123"/>
      <c r="I247" s="123"/>
      <c r="J247" s="174"/>
      <c r="K247" s="182"/>
      <c r="L247" s="123"/>
      <c r="M247" s="123"/>
      <c r="N247" s="123"/>
      <c r="O247" s="123"/>
      <c r="P247" s="123"/>
      <c r="Q247" s="123"/>
      <c r="R247" s="123"/>
      <c r="S247" s="123"/>
      <c r="T247" s="123"/>
      <c r="U247" s="123"/>
      <c r="V247" s="123"/>
      <c r="W247" s="123"/>
      <c r="X247" s="123"/>
      <c r="Y247" s="123"/>
    </row>
    <row r="248" spans="1:25" ht="15.75" customHeight="1" x14ac:dyDescent="0.2">
      <c r="A248" s="182"/>
      <c r="B248" s="175"/>
      <c r="C248" s="176"/>
      <c r="D248" s="176"/>
      <c r="E248" s="176"/>
      <c r="F248" s="123"/>
      <c r="G248" s="123"/>
      <c r="H248" s="123"/>
      <c r="I248" s="123"/>
      <c r="J248" s="174"/>
      <c r="K248" s="182"/>
      <c r="L248" s="123"/>
      <c r="M248" s="123"/>
      <c r="N248" s="123"/>
      <c r="O248" s="123"/>
      <c r="P248" s="123"/>
      <c r="Q248" s="123"/>
      <c r="R248" s="123"/>
      <c r="S248" s="123"/>
      <c r="T248" s="123"/>
      <c r="U248" s="123"/>
      <c r="V248" s="123"/>
      <c r="W248" s="123"/>
      <c r="X248" s="123"/>
      <c r="Y248" s="123"/>
    </row>
    <row r="249" spans="1:25" ht="15.75" customHeight="1" x14ac:dyDescent="0.2">
      <c r="A249" s="182"/>
      <c r="B249" s="175"/>
      <c r="C249" s="176"/>
      <c r="D249" s="176"/>
      <c r="E249" s="176"/>
      <c r="F249" s="123"/>
      <c r="G249" s="123"/>
      <c r="H249" s="123"/>
      <c r="I249" s="123"/>
      <c r="J249" s="174"/>
      <c r="K249" s="182"/>
      <c r="L249" s="123"/>
      <c r="M249" s="123"/>
      <c r="N249" s="123"/>
      <c r="O249" s="123"/>
      <c r="P249" s="123"/>
      <c r="Q249" s="123"/>
      <c r="R249" s="123"/>
      <c r="S249" s="123"/>
      <c r="T249" s="123"/>
      <c r="U249" s="123"/>
      <c r="V249" s="123"/>
      <c r="W249" s="123"/>
      <c r="X249" s="123"/>
      <c r="Y249" s="123"/>
    </row>
    <row r="250" spans="1:25" ht="15.75" customHeight="1" x14ac:dyDescent="0.2">
      <c r="A250" s="182"/>
      <c r="B250" s="175"/>
      <c r="C250" s="176"/>
      <c r="D250" s="176"/>
      <c r="E250" s="176"/>
      <c r="F250" s="123"/>
      <c r="G250" s="123"/>
      <c r="H250" s="123"/>
      <c r="I250" s="123"/>
      <c r="J250" s="174"/>
      <c r="K250" s="182"/>
      <c r="L250" s="123"/>
      <c r="M250" s="123"/>
      <c r="N250" s="123"/>
      <c r="O250" s="123"/>
      <c r="P250" s="123"/>
      <c r="Q250" s="123"/>
      <c r="R250" s="123"/>
      <c r="S250" s="123"/>
      <c r="T250" s="123"/>
      <c r="U250" s="123"/>
      <c r="V250" s="123"/>
      <c r="W250" s="123"/>
      <c r="X250" s="123"/>
      <c r="Y250" s="123"/>
    </row>
    <row r="251" spans="1:25" ht="15.75" customHeight="1" x14ac:dyDescent="0.2">
      <c r="A251" s="182"/>
      <c r="B251" s="175"/>
      <c r="C251" s="176"/>
      <c r="D251" s="176"/>
      <c r="E251" s="176"/>
      <c r="F251" s="123"/>
      <c r="G251" s="123"/>
      <c r="H251" s="123"/>
      <c r="I251" s="123"/>
      <c r="J251" s="174"/>
      <c r="K251" s="182"/>
      <c r="L251" s="123"/>
      <c r="M251" s="123"/>
      <c r="N251" s="123"/>
      <c r="O251" s="123"/>
      <c r="P251" s="123"/>
      <c r="Q251" s="123"/>
      <c r="R251" s="123"/>
      <c r="S251" s="123"/>
      <c r="T251" s="123"/>
      <c r="U251" s="123"/>
      <c r="V251" s="123"/>
      <c r="W251" s="123"/>
      <c r="X251" s="123"/>
      <c r="Y251" s="123"/>
    </row>
    <row r="252" spans="1:25" ht="15.75" customHeight="1" x14ac:dyDescent="0.2">
      <c r="A252" s="182"/>
      <c r="B252" s="175"/>
      <c r="C252" s="176"/>
      <c r="D252" s="176"/>
      <c r="E252" s="176"/>
      <c r="F252" s="123"/>
      <c r="G252" s="123"/>
      <c r="H252" s="123"/>
      <c r="I252" s="123"/>
      <c r="J252" s="174"/>
      <c r="K252" s="182"/>
      <c r="L252" s="123"/>
      <c r="M252" s="123"/>
      <c r="N252" s="123"/>
      <c r="O252" s="123"/>
      <c r="P252" s="123"/>
      <c r="Q252" s="123"/>
      <c r="R252" s="123"/>
      <c r="S252" s="123"/>
      <c r="T252" s="123"/>
      <c r="U252" s="123"/>
      <c r="V252" s="123"/>
      <c r="W252" s="123"/>
      <c r="X252" s="123"/>
      <c r="Y252" s="123"/>
    </row>
    <row r="253" spans="1:25" ht="15.75" customHeight="1" x14ac:dyDescent="0.2">
      <c r="A253" s="182"/>
      <c r="B253" s="175"/>
      <c r="C253" s="176"/>
      <c r="D253" s="176"/>
      <c r="E253" s="176"/>
      <c r="F253" s="123"/>
      <c r="G253" s="123"/>
      <c r="H253" s="123"/>
      <c r="I253" s="123"/>
      <c r="J253" s="174"/>
      <c r="K253" s="182"/>
      <c r="L253" s="123"/>
      <c r="M253" s="123"/>
      <c r="N253" s="123"/>
      <c r="O253" s="123"/>
      <c r="P253" s="123"/>
      <c r="Q253" s="123"/>
      <c r="R253" s="123"/>
      <c r="S253" s="123"/>
      <c r="T253" s="123"/>
      <c r="U253" s="123"/>
      <c r="V253" s="123"/>
      <c r="W253" s="123"/>
      <c r="X253" s="123"/>
      <c r="Y253" s="123"/>
    </row>
    <row r="254" spans="1:25" ht="15.75" customHeight="1" x14ac:dyDescent="0.2">
      <c r="A254" s="182"/>
      <c r="B254" s="175"/>
      <c r="C254" s="176"/>
      <c r="D254" s="176"/>
      <c r="E254" s="176"/>
      <c r="F254" s="123"/>
      <c r="G254" s="123"/>
      <c r="H254" s="123"/>
      <c r="I254" s="123"/>
      <c r="J254" s="174"/>
      <c r="K254" s="182"/>
      <c r="L254" s="123"/>
      <c r="M254" s="123"/>
      <c r="N254" s="123"/>
      <c r="O254" s="123"/>
      <c r="P254" s="123"/>
      <c r="Q254" s="123"/>
      <c r="R254" s="123"/>
      <c r="S254" s="123"/>
      <c r="T254" s="123"/>
      <c r="U254" s="123"/>
      <c r="V254" s="123"/>
      <c r="W254" s="123"/>
      <c r="X254" s="123"/>
      <c r="Y254" s="123"/>
    </row>
    <row r="255" spans="1:25" ht="15.75" customHeight="1" x14ac:dyDescent="0.2">
      <c r="A255" s="182"/>
      <c r="B255" s="175"/>
      <c r="C255" s="176"/>
      <c r="D255" s="176"/>
      <c r="E255" s="176"/>
      <c r="F255" s="123"/>
      <c r="G255" s="123"/>
      <c r="H255" s="123"/>
      <c r="I255" s="123"/>
      <c r="J255" s="174"/>
      <c r="K255" s="182"/>
      <c r="L255" s="123"/>
      <c r="M255" s="123"/>
      <c r="N255" s="123"/>
      <c r="O255" s="123"/>
      <c r="P255" s="123"/>
      <c r="Q255" s="123"/>
      <c r="R255" s="123"/>
      <c r="S255" s="123"/>
      <c r="T255" s="123"/>
      <c r="U255" s="123"/>
      <c r="V255" s="123"/>
      <c r="W255" s="123"/>
      <c r="X255" s="123"/>
      <c r="Y255" s="123"/>
    </row>
    <row r="256" spans="1:25" ht="15.75" customHeight="1" x14ac:dyDescent="0.2">
      <c r="A256" s="182"/>
      <c r="B256" s="175"/>
      <c r="C256" s="176"/>
      <c r="D256" s="176"/>
      <c r="E256" s="176"/>
      <c r="F256" s="123"/>
      <c r="G256" s="123"/>
      <c r="H256" s="123"/>
      <c r="I256" s="123"/>
      <c r="J256" s="174"/>
      <c r="K256" s="182"/>
      <c r="L256" s="123"/>
      <c r="M256" s="123"/>
      <c r="N256" s="123"/>
      <c r="O256" s="123"/>
      <c r="P256" s="123"/>
      <c r="Q256" s="123"/>
      <c r="R256" s="123"/>
      <c r="S256" s="123"/>
      <c r="T256" s="123"/>
      <c r="U256" s="123"/>
      <c r="V256" s="123"/>
      <c r="W256" s="123"/>
      <c r="X256" s="123"/>
      <c r="Y256" s="123"/>
    </row>
    <row r="257" spans="1:25" ht="15.75" customHeight="1" x14ac:dyDescent="0.2">
      <c r="A257" s="182"/>
      <c r="B257" s="175"/>
      <c r="C257" s="176"/>
      <c r="D257" s="176"/>
      <c r="E257" s="176"/>
      <c r="F257" s="123"/>
      <c r="G257" s="123"/>
      <c r="H257" s="123"/>
      <c r="I257" s="123"/>
      <c r="J257" s="174"/>
      <c r="K257" s="182"/>
      <c r="L257" s="123"/>
      <c r="M257" s="123"/>
      <c r="N257" s="123"/>
      <c r="O257" s="123"/>
      <c r="P257" s="123"/>
      <c r="Q257" s="123"/>
      <c r="R257" s="123"/>
      <c r="S257" s="123"/>
      <c r="T257" s="123"/>
      <c r="U257" s="123"/>
      <c r="V257" s="123"/>
      <c r="W257" s="123"/>
      <c r="X257" s="123"/>
      <c r="Y257" s="123"/>
    </row>
    <row r="258" spans="1:25" ht="15.75" customHeight="1" x14ac:dyDescent="0.2">
      <c r="A258" s="182"/>
      <c r="B258" s="175"/>
      <c r="C258" s="176"/>
      <c r="D258" s="176"/>
      <c r="E258" s="176"/>
      <c r="F258" s="123"/>
      <c r="G258" s="123"/>
      <c r="H258" s="123"/>
      <c r="I258" s="123"/>
      <c r="J258" s="174"/>
      <c r="K258" s="182"/>
      <c r="L258" s="123"/>
      <c r="M258" s="123"/>
      <c r="N258" s="123"/>
      <c r="O258" s="123"/>
      <c r="P258" s="123"/>
      <c r="Q258" s="123"/>
      <c r="R258" s="123"/>
      <c r="S258" s="123"/>
      <c r="T258" s="123"/>
      <c r="U258" s="123"/>
      <c r="V258" s="123"/>
      <c r="W258" s="123"/>
      <c r="X258" s="123"/>
      <c r="Y258" s="123"/>
    </row>
    <row r="259" spans="1:25" ht="15.75" customHeight="1" x14ac:dyDescent="0.2">
      <c r="A259" s="182"/>
      <c r="B259" s="175"/>
      <c r="C259" s="176"/>
      <c r="D259" s="176"/>
      <c r="E259" s="176"/>
      <c r="F259" s="123"/>
      <c r="G259" s="123"/>
      <c r="H259" s="123"/>
      <c r="I259" s="123"/>
      <c r="J259" s="174"/>
      <c r="K259" s="182"/>
      <c r="L259" s="123"/>
      <c r="M259" s="123"/>
      <c r="N259" s="123"/>
      <c r="O259" s="123"/>
      <c r="P259" s="123"/>
      <c r="Q259" s="123"/>
      <c r="R259" s="123"/>
      <c r="S259" s="123"/>
      <c r="T259" s="123"/>
      <c r="U259" s="123"/>
      <c r="V259" s="123"/>
      <c r="W259" s="123"/>
      <c r="X259" s="123"/>
      <c r="Y259" s="123"/>
    </row>
    <row r="260" spans="1:25" ht="15.75" customHeight="1" x14ac:dyDescent="0.2">
      <c r="A260" s="182"/>
      <c r="B260" s="175"/>
      <c r="C260" s="176"/>
      <c r="D260" s="176"/>
      <c r="E260" s="176"/>
      <c r="F260" s="123"/>
      <c r="G260" s="123"/>
      <c r="H260" s="123"/>
      <c r="I260" s="123"/>
      <c r="J260" s="174"/>
      <c r="K260" s="182"/>
      <c r="L260" s="123"/>
      <c r="M260" s="123"/>
      <c r="N260" s="123"/>
      <c r="O260" s="123"/>
      <c r="P260" s="123"/>
      <c r="Q260" s="123"/>
      <c r="R260" s="123"/>
      <c r="S260" s="123"/>
      <c r="T260" s="123"/>
      <c r="U260" s="123"/>
      <c r="V260" s="123"/>
      <c r="W260" s="123"/>
      <c r="X260" s="123"/>
      <c r="Y260" s="123"/>
    </row>
    <row r="261" spans="1:25" ht="15.75" customHeight="1" x14ac:dyDescent="0.2">
      <c r="A261" s="182"/>
      <c r="B261" s="175"/>
      <c r="C261" s="176"/>
      <c r="D261" s="176"/>
      <c r="E261" s="176"/>
      <c r="F261" s="123"/>
      <c r="G261" s="123"/>
      <c r="H261" s="123"/>
      <c r="I261" s="123"/>
      <c r="J261" s="174"/>
      <c r="K261" s="182"/>
      <c r="L261" s="123"/>
      <c r="M261" s="123"/>
      <c r="N261" s="123"/>
      <c r="O261" s="123"/>
      <c r="P261" s="123"/>
      <c r="Q261" s="123"/>
      <c r="R261" s="123"/>
      <c r="S261" s="123"/>
      <c r="T261" s="123"/>
      <c r="U261" s="123"/>
      <c r="V261" s="123"/>
      <c r="W261" s="123"/>
      <c r="X261" s="123"/>
      <c r="Y261" s="123"/>
    </row>
    <row r="262" spans="1:25" ht="15.75" customHeight="1" x14ac:dyDescent="0.2">
      <c r="A262" s="182"/>
      <c r="B262" s="175"/>
      <c r="C262" s="176"/>
      <c r="D262" s="176"/>
      <c r="E262" s="176"/>
      <c r="F262" s="123"/>
      <c r="G262" s="123"/>
      <c r="H262" s="123"/>
      <c r="I262" s="123"/>
      <c r="J262" s="174"/>
      <c r="K262" s="182"/>
      <c r="L262" s="123"/>
      <c r="M262" s="123"/>
      <c r="N262" s="123"/>
      <c r="O262" s="123"/>
      <c r="P262" s="123"/>
      <c r="Q262" s="123"/>
      <c r="R262" s="123"/>
      <c r="S262" s="123"/>
      <c r="T262" s="123"/>
      <c r="U262" s="123"/>
      <c r="V262" s="123"/>
      <c r="W262" s="123"/>
      <c r="X262" s="123"/>
      <c r="Y262" s="123"/>
    </row>
    <row r="263" spans="1:25" ht="15.75" customHeight="1" x14ac:dyDescent="0.2">
      <c r="A263" s="182"/>
      <c r="B263" s="175"/>
      <c r="C263" s="176"/>
      <c r="D263" s="176"/>
      <c r="E263" s="176"/>
      <c r="F263" s="123"/>
      <c r="G263" s="123"/>
      <c r="H263" s="123"/>
      <c r="I263" s="123"/>
      <c r="J263" s="174"/>
      <c r="K263" s="182"/>
      <c r="L263" s="123"/>
      <c r="M263" s="123"/>
      <c r="N263" s="123"/>
      <c r="O263" s="123"/>
      <c r="P263" s="123"/>
      <c r="Q263" s="123"/>
      <c r="R263" s="123"/>
      <c r="S263" s="123"/>
      <c r="T263" s="123"/>
      <c r="U263" s="123"/>
      <c r="V263" s="123"/>
      <c r="W263" s="123"/>
      <c r="X263" s="123"/>
      <c r="Y263" s="123"/>
    </row>
    <row r="264" spans="1:25" ht="15.75" customHeight="1" x14ac:dyDescent="0.2">
      <c r="A264" s="182"/>
      <c r="B264" s="175"/>
      <c r="C264" s="176"/>
      <c r="D264" s="176"/>
      <c r="E264" s="176"/>
      <c r="F264" s="123"/>
      <c r="G264" s="123"/>
      <c r="H264" s="123"/>
      <c r="I264" s="123"/>
      <c r="J264" s="174"/>
      <c r="K264" s="182"/>
      <c r="L264" s="123"/>
      <c r="M264" s="123"/>
      <c r="N264" s="123"/>
      <c r="O264" s="123"/>
      <c r="P264" s="123"/>
      <c r="Q264" s="123"/>
      <c r="R264" s="123"/>
      <c r="S264" s="123"/>
      <c r="T264" s="123"/>
      <c r="U264" s="123"/>
      <c r="V264" s="123"/>
      <c r="W264" s="123"/>
      <c r="X264" s="123"/>
      <c r="Y264" s="123"/>
    </row>
    <row r="265" spans="1:25" ht="15.75" customHeight="1" x14ac:dyDescent="0.2">
      <c r="A265" s="182"/>
      <c r="B265" s="175"/>
      <c r="C265" s="176"/>
      <c r="D265" s="176"/>
      <c r="E265" s="176"/>
      <c r="F265" s="123"/>
      <c r="G265" s="123"/>
      <c r="H265" s="123"/>
      <c r="I265" s="123"/>
      <c r="J265" s="174"/>
      <c r="K265" s="182"/>
      <c r="L265" s="123"/>
      <c r="M265" s="123"/>
      <c r="N265" s="123"/>
      <c r="O265" s="123"/>
      <c r="P265" s="123"/>
      <c r="Q265" s="123"/>
      <c r="R265" s="123"/>
      <c r="S265" s="123"/>
      <c r="T265" s="123"/>
      <c r="U265" s="123"/>
      <c r="V265" s="123"/>
      <c r="W265" s="123"/>
      <c r="X265" s="123"/>
      <c r="Y265" s="123"/>
    </row>
    <row r="266" spans="1:25" ht="15.75" customHeight="1" x14ac:dyDescent="0.2">
      <c r="A266" s="182"/>
      <c r="B266" s="175"/>
      <c r="C266" s="176"/>
      <c r="D266" s="176"/>
      <c r="E266" s="176"/>
      <c r="F266" s="123"/>
      <c r="G266" s="123"/>
      <c r="H266" s="123"/>
      <c r="I266" s="123"/>
      <c r="J266" s="174"/>
      <c r="K266" s="182"/>
      <c r="L266" s="123"/>
      <c r="M266" s="123"/>
      <c r="N266" s="123"/>
      <c r="O266" s="123"/>
      <c r="P266" s="123"/>
      <c r="Q266" s="123"/>
      <c r="R266" s="123"/>
      <c r="S266" s="123"/>
      <c r="T266" s="123"/>
      <c r="U266" s="123"/>
      <c r="V266" s="123"/>
      <c r="W266" s="123"/>
      <c r="X266" s="123"/>
      <c r="Y266" s="123"/>
    </row>
    <row r="267" spans="1:25" ht="15.75" customHeight="1" x14ac:dyDescent="0.2">
      <c r="A267" s="182"/>
      <c r="B267" s="175"/>
      <c r="C267" s="176"/>
      <c r="D267" s="176"/>
      <c r="E267" s="176"/>
      <c r="F267" s="123"/>
      <c r="G267" s="123"/>
      <c r="H267" s="123"/>
      <c r="I267" s="123"/>
      <c r="J267" s="174"/>
      <c r="K267" s="182"/>
      <c r="L267" s="123"/>
      <c r="M267" s="123"/>
      <c r="N267" s="123"/>
      <c r="O267" s="123"/>
      <c r="P267" s="123"/>
      <c r="Q267" s="123"/>
      <c r="R267" s="123"/>
      <c r="S267" s="123"/>
      <c r="T267" s="123"/>
      <c r="U267" s="123"/>
      <c r="V267" s="123"/>
      <c r="W267" s="123"/>
      <c r="X267" s="123"/>
      <c r="Y267" s="123"/>
    </row>
    <row r="268" spans="1:25" ht="15.75" customHeight="1" x14ac:dyDescent="0.2">
      <c r="A268" s="182"/>
      <c r="B268" s="175"/>
      <c r="C268" s="176"/>
      <c r="D268" s="176"/>
      <c r="E268" s="176"/>
      <c r="F268" s="123"/>
      <c r="G268" s="123"/>
      <c r="H268" s="123"/>
      <c r="I268" s="123"/>
      <c r="J268" s="174"/>
      <c r="K268" s="182"/>
      <c r="L268" s="123"/>
      <c r="M268" s="123"/>
      <c r="N268" s="123"/>
      <c r="O268" s="123"/>
      <c r="P268" s="123"/>
      <c r="Q268" s="123"/>
      <c r="R268" s="123"/>
      <c r="S268" s="123"/>
      <c r="T268" s="123"/>
      <c r="U268" s="123"/>
      <c r="V268" s="123"/>
      <c r="W268" s="123"/>
      <c r="X268" s="123"/>
      <c r="Y268" s="123"/>
    </row>
    <row r="269" spans="1:25" ht="15.75" customHeight="1" x14ac:dyDescent="0.2">
      <c r="A269" s="182"/>
      <c r="B269" s="175"/>
      <c r="C269" s="176"/>
      <c r="D269" s="176"/>
      <c r="E269" s="176"/>
      <c r="F269" s="123"/>
      <c r="G269" s="123"/>
      <c r="H269" s="123"/>
      <c r="I269" s="123"/>
      <c r="J269" s="174"/>
      <c r="K269" s="182"/>
      <c r="L269" s="123"/>
      <c r="M269" s="123"/>
      <c r="N269" s="123"/>
      <c r="O269" s="123"/>
      <c r="P269" s="123"/>
      <c r="Q269" s="123"/>
      <c r="R269" s="123"/>
      <c r="S269" s="123"/>
      <c r="T269" s="123"/>
      <c r="U269" s="123"/>
      <c r="V269" s="123"/>
      <c r="W269" s="123"/>
      <c r="X269" s="123"/>
      <c r="Y269" s="123"/>
    </row>
    <row r="270" spans="1:25" ht="15.75" customHeight="1" x14ac:dyDescent="0.2">
      <c r="A270" s="182"/>
      <c r="B270" s="175"/>
      <c r="C270" s="176"/>
      <c r="D270" s="176"/>
      <c r="E270" s="176"/>
      <c r="F270" s="123"/>
      <c r="G270" s="123"/>
      <c r="H270" s="123"/>
      <c r="I270" s="123"/>
      <c r="J270" s="174"/>
      <c r="K270" s="182"/>
      <c r="L270" s="123"/>
      <c r="M270" s="123"/>
      <c r="N270" s="123"/>
      <c r="O270" s="123"/>
      <c r="P270" s="123"/>
      <c r="Q270" s="123"/>
      <c r="R270" s="123"/>
      <c r="S270" s="123"/>
      <c r="T270" s="123"/>
      <c r="U270" s="123"/>
      <c r="V270" s="123"/>
      <c r="W270" s="123"/>
      <c r="X270" s="123"/>
      <c r="Y270" s="123"/>
    </row>
    <row r="271" spans="1:25" ht="15.75" customHeight="1" x14ac:dyDescent="0.2">
      <c r="A271" s="182"/>
      <c r="B271" s="175"/>
      <c r="C271" s="176"/>
      <c r="D271" s="176"/>
      <c r="E271" s="176"/>
      <c r="F271" s="123"/>
      <c r="G271" s="123"/>
      <c r="H271" s="123"/>
      <c r="I271" s="123"/>
      <c r="J271" s="174"/>
      <c r="K271" s="182"/>
      <c r="L271" s="123"/>
      <c r="M271" s="123"/>
      <c r="N271" s="123"/>
      <c r="O271" s="123"/>
      <c r="P271" s="123"/>
      <c r="Q271" s="123"/>
      <c r="R271" s="123"/>
      <c r="S271" s="123"/>
      <c r="T271" s="123"/>
      <c r="U271" s="123"/>
      <c r="V271" s="123"/>
      <c r="W271" s="123"/>
      <c r="X271" s="123"/>
      <c r="Y271" s="123"/>
    </row>
    <row r="272" spans="1:25" ht="15.75" customHeight="1" x14ac:dyDescent="0.2">
      <c r="A272" s="182"/>
      <c r="B272" s="175"/>
      <c r="C272" s="176"/>
      <c r="D272" s="176"/>
      <c r="E272" s="176"/>
      <c r="F272" s="123"/>
      <c r="G272" s="123"/>
      <c r="H272" s="123"/>
      <c r="I272" s="123"/>
      <c r="J272" s="174"/>
      <c r="K272" s="182"/>
      <c r="L272" s="123"/>
      <c r="M272" s="123"/>
      <c r="N272" s="123"/>
      <c r="O272" s="123"/>
      <c r="P272" s="123"/>
      <c r="Q272" s="123"/>
      <c r="R272" s="123"/>
      <c r="S272" s="123"/>
      <c r="T272" s="123"/>
      <c r="U272" s="123"/>
      <c r="V272" s="123"/>
      <c r="W272" s="123"/>
      <c r="X272" s="123"/>
      <c r="Y272" s="123"/>
    </row>
    <row r="273" spans="1:25" ht="15.75" customHeight="1" x14ac:dyDescent="0.2">
      <c r="A273" s="182"/>
      <c r="B273" s="175"/>
      <c r="C273" s="176"/>
      <c r="D273" s="176"/>
      <c r="E273" s="176"/>
      <c r="F273" s="123"/>
      <c r="G273" s="123"/>
      <c r="H273" s="123"/>
      <c r="I273" s="123"/>
      <c r="J273" s="174"/>
      <c r="K273" s="182"/>
      <c r="L273" s="123"/>
      <c r="M273" s="123"/>
      <c r="N273" s="123"/>
      <c r="O273" s="123"/>
      <c r="P273" s="123"/>
      <c r="Q273" s="123"/>
      <c r="R273" s="123"/>
      <c r="S273" s="123"/>
      <c r="T273" s="123"/>
      <c r="U273" s="123"/>
      <c r="V273" s="123"/>
      <c r="W273" s="123"/>
      <c r="X273" s="123"/>
      <c r="Y273" s="123"/>
    </row>
    <row r="274" spans="1:25" ht="15.75" customHeight="1" x14ac:dyDescent="0.2">
      <c r="A274" s="182"/>
      <c r="B274" s="175"/>
      <c r="C274" s="176"/>
      <c r="D274" s="176"/>
      <c r="E274" s="176"/>
      <c r="F274" s="123"/>
      <c r="G274" s="123"/>
      <c r="H274" s="123"/>
      <c r="I274" s="123"/>
      <c r="J274" s="174"/>
      <c r="K274" s="182"/>
      <c r="L274" s="123"/>
      <c r="M274" s="123"/>
      <c r="N274" s="123"/>
      <c r="O274" s="123"/>
      <c r="P274" s="123"/>
      <c r="Q274" s="123"/>
      <c r="R274" s="123"/>
      <c r="S274" s="123"/>
      <c r="T274" s="123"/>
      <c r="U274" s="123"/>
      <c r="V274" s="123"/>
      <c r="W274" s="123"/>
      <c r="X274" s="123"/>
      <c r="Y274" s="123"/>
    </row>
    <row r="275" spans="1:25" ht="15.75" customHeight="1" x14ac:dyDescent="0.2">
      <c r="A275" s="182"/>
      <c r="B275" s="175"/>
      <c r="C275" s="176"/>
      <c r="D275" s="176"/>
      <c r="E275" s="176"/>
      <c r="F275" s="123"/>
      <c r="G275" s="123"/>
      <c r="H275" s="123"/>
      <c r="I275" s="123"/>
      <c r="J275" s="174"/>
      <c r="K275" s="182"/>
      <c r="L275" s="123"/>
      <c r="M275" s="123"/>
      <c r="N275" s="123"/>
      <c r="O275" s="123"/>
      <c r="P275" s="123"/>
      <c r="Q275" s="123"/>
      <c r="R275" s="123"/>
      <c r="S275" s="123"/>
      <c r="T275" s="123"/>
      <c r="U275" s="123"/>
      <c r="V275" s="123"/>
      <c r="W275" s="123"/>
      <c r="X275" s="123"/>
      <c r="Y275" s="123"/>
    </row>
    <row r="276" spans="1:25" ht="15.75" customHeight="1" x14ac:dyDescent="0.2">
      <c r="A276" s="182"/>
      <c r="B276" s="175"/>
      <c r="C276" s="176"/>
      <c r="D276" s="176"/>
      <c r="E276" s="176"/>
      <c r="F276" s="123"/>
      <c r="G276" s="123"/>
      <c r="H276" s="123"/>
      <c r="I276" s="123"/>
      <c r="J276" s="174"/>
      <c r="K276" s="182"/>
      <c r="L276" s="123"/>
      <c r="M276" s="123"/>
      <c r="N276" s="123"/>
      <c r="O276" s="123"/>
      <c r="P276" s="123"/>
      <c r="Q276" s="123"/>
      <c r="R276" s="123"/>
      <c r="S276" s="123"/>
      <c r="T276" s="123"/>
      <c r="U276" s="123"/>
      <c r="V276" s="123"/>
      <c r="W276" s="123"/>
      <c r="X276" s="123"/>
      <c r="Y276" s="123"/>
    </row>
    <row r="277" spans="1:25" ht="15.75" customHeight="1" x14ac:dyDescent="0.2">
      <c r="A277" s="182"/>
      <c r="B277" s="175"/>
      <c r="C277" s="176"/>
      <c r="D277" s="176"/>
      <c r="E277" s="176"/>
      <c r="F277" s="123"/>
      <c r="G277" s="123"/>
      <c r="H277" s="123"/>
      <c r="I277" s="123"/>
      <c r="J277" s="174"/>
      <c r="K277" s="182"/>
      <c r="L277" s="123"/>
      <c r="M277" s="123"/>
      <c r="N277" s="123"/>
      <c r="O277" s="123"/>
      <c r="P277" s="123"/>
      <c r="Q277" s="123"/>
      <c r="R277" s="123"/>
      <c r="S277" s="123"/>
      <c r="T277" s="123"/>
      <c r="U277" s="123"/>
      <c r="V277" s="123"/>
      <c r="W277" s="123"/>
      <c r="X277" s="123"/>
      <c r="Y277" s="123"/>
    </row>
    <row r="278" spans="1:25" ht="15.75" customHeight="1" x14ac:dyDescent="0.2">
      <c r="A278" s="182"/>
      <c r="B278" s="175"/>
      <c r="C278" s="176"/>
      <c r="D278" s="176"/>
      <c r="E278" s="176"/>
      <c r="F278" s="123"/>
      <c r="G278" s="123"/>
      <c r="H278" s="123"/>
      <c r="I278" s="123"/>
      <c r="J278" s="174"/>
      <c r="K278" s="182"/>
      <c r="L278" s="123"/>
      <c r="M278" s="123"/>
      <c r="N278" s="123"/>
      <c r="O278" s="123"/>
      <c r="P278" s="123"/>
      <c r="Q278" s="123"/>
      <c r="R278" s="123"/>
      <c r="S278" s="123"/>
      <c r="T278" s="123"/>
      <c r="U278" s="123"/>
      <c r="V278" s="123"/>
      <c r="W278" s="123"/>
      <c r="X278" s="123"/>
      <c r="Y278" s="123"/>
    </row>
    <row r="279" spans="1:25" ht="15.75" customHeight="1" x14ac:dyDescent="0.2">
      <c r="A279" s="182"/>
      <c r="B279" s="175"/>
      <c r="C279" s="176"/>
      <c r="D279" s="176"/>
      <c r="E279" s="176"/>
      <c r="F279" s="123"/>
      <c r="G279" s="123"/>
      <c r="H279" s="123"/>
      <c r="I279" s="123"/>
      <c r="J279" s="174"/>
      <c r="K279" s="182"/>
      <c r="L279" s="123"/>
      <c r="M279" s="123"/>
      <c r="N279" s="123"/>
      <c r="O279" s="123"/>
      <c r="P279" s="123"/>
      <c r="Q279" s="123"/>
      <c r="R279" s="123"/>
      <c r="S279" s="123"/>
      <c r="T279" s="123"/>
      <c r="U279" s="123"/>
      <c r="V279" s="123"/>
      <c r="W279" s="123"/>
      <c r="X279" s="123"/>
      <c r="Y279" s="123"/>
    </row>
    <row r="280" spans="1:25" ht="15.75" customHeight="1" x14ac:dyDescent="0.2">
      <c r="A280" s="182"/>
      <c r="B280" s="175"/>
      <c r="C280" s="176"/>
      <c r="D280" s="176"/>
      <c r="E280" s="176"/>
      <c r="F280" s="123"/>
      <c r="G280" s="123"/>
      <c r="H280" s="123"/>
      <c r="I280" s="123"/>
      <c r="J280" s="174"/>
      <c r="K280" s="182"/>
      <c r="L280" s="123"/>
      <c r="M280" s="123"/>
      <c r="N280" s="123"/>
      <c r="O280" s="123"/>
      <c r="P280" s="123"/>
      <c r="Q280" s="123"/>
      <c r="R280" s="123"/>
      <c r="S280" s="123"/>
      <c r="T280" s="123"/>
      <c r="U280" s="123"/>
      <c r="V280" s="123"/>
      <c r="W280" s="123"/>
      <c r="X280" s="123"/>
      <c r="Y280" s="123"/>
    </row>
    <row r="281" spans="1:25" ht="15.75" customHeight="1" x14ac:dyDescent="0.2">
      <c r="A281" s="182"/>
      <c r="B281" s="175"/>
      <c r="C281" s="176"/>
      <c r="D281" s="176"/>
      <c r="E281" s="176"/>
      <c r="F281" s="123"/>
      <c r="G281" s="123"/>
      <c r="H281" s="123"/>
      <c r="I281" s="123"/>
      <c r="J281" s="174"/>
      <c r="K281" s="182"/>
      <c r="L281" s="123"/>
      <c r="M281" s="123"/>
      <c r="N281" s="123"/>
      <c r="O281" s="123"/>
      <c r="P281" s="123"/>
      <c r="Q281" s="123"/>
      <c r="R281" s="123"/>
      <c r="S281" s="123"/>
      <c r="T281" s="123"/>
      <c r="U281" s="123"/>
      <c r="V281" s="123"/>
      <c r="W281" s="123"/>
      <c r="X281" s="123"/>
      <c r="Y281" s="123"/>
    </row>
    <row r="282" spans="1:25" ht="15.75" customHeight="1" x14ac:dyDescent="0.2">
      <c r="A282" s="182"/>
      <c r="B282" s="175"/>
      <c r="C282" s="176"/>
      <c r="D282" s="176"/>
      <c r="E282" s="176"/>
      <c r="F282" s="123"/>
      <c r="G282" s="123"/>
      <c r="H282" s="123"/>
      <c r="I282" s="123"/>
      <c r="J282" s="174"/>
      <c r="K282" s="182"/>
      <c r="L282" s="123"/>
      <c r="M282" s="123"/>
      <c r="N282" s="123"/>
      <c r="O282" s="123"/>
      <c r="P282" s="123"/>
      <c r="Q282" s="123"/>
      <c r="R282" s="123"/>
      <c r="S282" s="123"/>
      <c r="T282" s="123"/>
      <c r="U282" s="123"/>
      <c r="V282" s="123"/>
      <c r="W282" s="123"/>
      <c r="X282" s="123"/>
      <c r="Y282" s="123"/>
    </row>
    <row r="283" spans="1:25" ht="15.75" customHeight="1" x14ac:dyDescent="0.2">
      <c r="A283" s="182"/>
      <c r="B283" s="175"/>
      <c r="C283" s="176"/>
      <c r="D283" s="176"/>
      <c r="E283" s="176"/>
      <c r="F283" s="123"/>
      <c r="G283" s="123"/>
      <c r="H283" s="123"/>
      <c r="I283" s="123"/>
      <c r="J283" s="174"/>
      <c r="K283" s="182"/>
      <c r="L283" s="123"/>
      <c r="M283" s="123"/>
      <c r="N283" s="123"/>
      <c r="O283" s="123"/>
      <c r="P283" s="123"/>
      <c r="Q283" s="123"/>
      <c r="R283" s="123"/>
      <c r="S283" s="123"/>
      <c r="T283" s="123"/>
      <c r="U283" s="123"/>
      <c r="V283" s="123"/>
      <c r="W283" s="123"/>
      <c r="X283" s="123"/>
      <c r="Y283" s="123"/>
    </row>
    <row r="284" spans="1:25" ht="15.75" customHeight="1" x14ac:dyDescent="0.2">
      <c r="A284" s="182"/>
      <c r="B284" s="175"/>
      <c r="C284" s="176"/>
      <c r="D284" s="176"/>
      <c r="E284" s="176"/>
      <c r="F284" s="123"/>
      <c r="G284" s="123"/>
      <c r="H284" s="123"/>
      <c r="I284" s="123"/>
      <c r="J284" s="174"/>
      <c r="K284" s="182"/>
      <c r="L284" s="123"/>
      <c r="M284" s="123"/>
      <c r="N284" s="123"/>
      <c r="O284" s="123"/>
      <c r="P284" s="123"/>
      <c r="Q284" s="123"/>
      <c r="R284" s="123"/>
      <c r="S284" s="123"/>
      <c r="T284" s="123"/>
      <c r="U284" s="123"/>
      <c r="V284" s="123"/>
      <c r="W284" s="123"/>
      <c r="X284" s="123"/>
      <c r="Y284" s="123"/>
    </row>
    <row r="285" spans="1:25" ht="15.75" customHeight="1" x14ac:dyDescent="0.2">
      <c r="A285" s="182"/>
      <c r="B285" s="175"/>
      <c r="C285" s="176"/>
      <c r="D285" s="176"/>
      <c r="E285" s="176"/>
      <c r="F285" s="123"/>
      <c r="G285" s="123"/>
      <c r="H285" s="123"/>
      <c r="I285" s="123"/>
      <c r="J285" s="174"/>
      <c r="K285" s="182"/>
      <c r="L285" s="123"/>
      <c r="M285" s="123"/>
      <c r="N285" s="123"/>
      <c r="O285" s="123"/>
      <c r="P285" s="123"/>
      <c r="Q285" s="123"/>
      <c r="R285" s="123"/>
      <c r="S285" s="123"/>
      <c r="T285" s="123"/>
      <c r="U285" s="123"/>
      <c r="V285" s="123"/>
      <c r="W285" s="123"/>
      <c r="X285" s="123"/>
      <c r="Y285" s="123"/>
    </row>
    <row r="286" spans="1:25" ht="15.75" customHeight="1" x14ac:dyDescent="0.2">
      <c r="A286" s="182"/>
      <c r="B286" s="175"/>
      <c r="C286" s="176"/>
      <c r="D286" s="176"/>
      <c r="E286" s="176"/>
      <c r="F286" s="123"/>
      <c r="G286" s="123"/>
      <c r="H286" s="123"/>
      <c r="I286" s="123"/>
      <c r="J286" s="174"/>
      <c r="K286" s="182"/>
      <c r="L286" s="123"/>
      <c r="M286" s="123"/>
      <c r="N286" s="123"/>
      <c r="O286" s="123"/>
      <c r="P286" s="123"/>
      <c r="Q286" s="123"/>
      <c r="R286" s="123"/>
      <c r="S286" s="123"/>
      <c r="T286" s="123"/>
      <c r="U286" s="123"/>
      <c r="V286" s="123"/>
      <c r="W286" s="123"/>
      <c r="X286" s="123"/>
      <c r="Y286" s="123"/>
    </row>
    <row r="287" spans="1:25" ht="15.75" customHeight="1" x14ac:dyDescent="0.2">
      <c r="A287" s="182"/>
      <c r="B287" s="175"/>
      <c r="C287" s="176"/>
      <c r="D287" s="176"/>
      <c r="E287" s="176"/>
      <c r="F287" s="123"/>
      <c r="G287" s="123"/>
      <c r="H287" s="123"/>
      <c r="I287" s="123"/>
      <c r="J287" s="174"/>
      <c r="K287" s="182"/>
      <c r="L287" s="123"/>
      <c r="M287" s="123"/>
      <c r="N287" s="123"/>
      <c r="O287" s="123"/>
      <c r="P287" s="123"/>
      <c r="Q287" s="123"/>
      <c r="R287" s="123"/>
      <c r="S287" s="123"/>
      <c r="T287" s="123"/>
      <c r="U287" s="123"/>
      <c r="V287" s="123"/>
      <c r="W287" s="123"/>
      <c r="X287" s="123"/>
      <c r="Y287" s="123"/>
    </row>
    <row r="288" spans="1:25" ht="15.75" customHeight="1" x14ac:dyDescent="0.2">
      <c r="A288" s="182"/>
      <c r="B288" s="175"/>
      <c r="C288" s="176"/>
      <c r="D288" s="176"/>
      <c r="E288" s="176"/>
      <c r="F288" s="123"/>
      <c r="G288" s="123"/>
      <c r="H288" s="123"/>
      <c r="I288" s="123"/>
      <c r="J288" s="174"/>
      <c r="K288" s="182"/>
      <c r="L288" s="123"/>
      <c r="M288" s="123"/>
      <c r="N288" s="123"/>
      <c r="O288" s="123"/>
      <c r="P288" s="123"/>
      <c r="Q288" s="123"/>
      <c r="R288" s="123"/>
      <c r="S288" s="123"/>
      <c r="T288" s="123"/>
      <c r="U288" s="123"/>
      <c r="V288" s="123"/>
      <c r="W288" s="123"/>
      <c r="X288" s="123"/>
      <c r="Y288" s="123"/>
    </row>
    <row r="289" spans="1:25" ht="15.75" customHeight="1" x14ac:dyDescent="0.2">
      <c r="A289" s="182"/>
      <c r="B289" s="175"/>
      <c r="C289" s="176"/>
      <c r="D289" s="176"/>
      <c r="E289" s="176"/>
      <c r="F289" s="123"/>
      <c r="G289" s="123"/>
      <c r="H289" s="123"/>
      <c r="I289" s="123"/>
      <c r="J289" s="174"/>
      <c r="K289" s="182"/>
      <c r="L289" s="123"/>
      <c r="M289" s="123"/>
      <c r="N289" s="123"/>
      <c r="O289" s="123"/>
      <c r="P289" s="123"/>
      <c r="Q289" s="123"/>
      <c r="R289" s="123"/>
      <c r="S289" s="123"/>
      <c r="T289" s="123"/>
      <c r="U289" s="123"/>
      <c r="V289" s="123"/>
      <c r="W289" s="123"/>
      <c r="X289" s="123"/>
      <c r="Y289" s="123"/>
    </row>
    <row r="290" spans="1:25" ht="15.75" customHeight="1" x14ac:dyDescent="0.2">
      <c r="A290" s="182"/>
      <c r="B290" s="175"/>
      <c r="C290" s="176"/>
      <c r="D290" s="176"/>
      <c r="E290" s="176"/>
      <c r="F290" s="123"/>
      <c r="G290" s="123"/>
      <c r="H290" s="123"/>
      <c r="I290" s="123"/>
      <c r="J290" s="174"/>
      <c r="K290" s="182"/>
      <c r="L290" s="123"/>
      <c r="M290" s="123"/>
      <c r="N290" s="123"/>
      <c r="O290" s="123"/>
      <c r="P290" s="123"/>
      <c r="Q290" s="123"/>
      <c r="R290" s="123"/>
      <c r="S290" s="123"/>
      <c r="T290" s="123"/>
      <c r="U290" s="123"/>
      <c r="V290" s="123"/>
      <c r="W290" s="123"/>
      <c r="X290" s="123"/>
      <c r="Y290" s="123"/>
    </row>
    <row r="291" spans="1:25" ht="15.75" customHeight="1" x14ac:dyDescent="0.2">
      <c r="A291" s="182"/>
      <c r="B291" s="175"/>
      <c r="C291" s="176"/>
      <c r="D291" s="176"/>
      <c r="E291" s="176"/>
      <c r="F291" s="123"/>
      <c r="G291" s="123"/>
      <c r="H291" s="123"/>
      <c r="I291" s="123"/>
      <c r="J291" s="174"/>
      <c r="K291" s="182"/>
      <c r="L291" s="123"/>
      <c r="M291" s="123"/>
      <c r="N291" s="123"/>
      <c r="O291" s="123"/>
      <c r="P291" s="123"/>
      <c r="Q291" s="123"/>
      <c r="R291" s="123"/>
      <c r="S291" s="123"/>
      <c r="T291" s="123"/>
      <c r="U291" s="123"/>
      <c r="V291" s="123"/>
      <c r="W291" s="123"/>
      <c r="X291" s="123"/>
      <c r="Y291" s="123"/>
    </row>
    <row r="292" spans="1:25" ht="15.75" customHeight="1" x14ac:dyDescent="0.2">
      <c r="A292" s="182"/>
      <c r="B292" s="175"/>
      <c r="C292" s="176"/>
      <c r="D292" s="176"/>
      <c r="E292" s="176"/>
      <c r="F292" s="123"/>
      <c r="G292" s="123"/>
      <c r="H292" s="123"/>
      <c r="I292" s="123"/>
      <c r="J292" s="174"/>
      <c r="K292" s="182"/>
      <c r="L292" s="123"/>
      <c r="M292" s="123"/>
      <c r="N292" s="123"/>
      <c r="O292" s="123"/>
      <c r="P292" s="123"/>
      <c r="Q292" s="123"/>
      <c r="R292" s="123"/>
      <c r="S292" s="123"/>
      <c r="T292" s="123"/>
      <c r="U292" s="123"/>
      <c r="V292" s="123"/>
      <c r="W292" s="123"/>
      <c r="X292" s="123"/>
      <c r="Y292" s="123"/>
    </row>
    <row r="293" spans="1:25" ht="15.75" customHeight="1" x14ac:dyDescent="0.2">
      <c r="A293" s="182"/>
      <c r="B293" s="175"/>
      <c r="C293" s="176"/>
      <c r="D293" s="176"/>
      <c r="E293" s="176"/>
      <c r="F293" s="123"/>
      <c r="G293" s="123"/>
      <c r="H293" s="123"/>
      <c r="I293" s="123"/>
      <c r="J293" s="174"/>
      <c r="K293" s="182"/>
      <c r="L293" s="123"/>
      <c r="M293" s="123"/>
      <c r="N293" s="123"/>
      <c r="O293" s="123"/>
      <c r="P293" s="123"/>
      <c r="Q293" s="123"/>
      <c r="R293" s="123"/>
      <c r="S293" s="123"/>
      <c r="T293" s="123"/>
      <c r="U293" s="123"/>
      <c r="V293" s="123"/>
      <c r="W293" s="123"/>
      <c r="X293" s="123"/>
      <c r="Y293" s="123"/>
    </row>
    <row r="294" spans="1:25" ht="15.75" customHeight="1" x14ac:dyDescent="0.2">
      <c r="A294" s="182"/>
      <c r="B294" s="175"/>
      <c r="C294" s="176"/>
      <c r="D294" s="176"/>
      <c r="E294" s="176"/>
      <c r="F294" s="123"/>
      <c r="G294" s="123"/>
      <c r="H294" s="123"/>
      <c r="I294" s="123"/>
      <c r="J294" s="174"/>
      <c r="K294" s="182"/>
      <c r="L294" s="123"/>
      <c r="M294" s="123"/>
      <c r="N294" s="123"/>
      <c r="O294" s="123"/>
      <c r="P294" s="123"/>
      <c r="Q294" s="123"/>
      <c r="R294" s="123"/>
      <c r="S294" s="123"/>
      <c r="T294" s="123"/>
      <c r="U294" s="123"/>
      <c r="V294" s="123"/>
      <c r="W294" s="123"/>
      <c r="X294" s="123"/>
      <c r="Y294" s="123"/>
    </row>
    <row r="295" spans="1:25" ht="15.75" customHeight="1" x14ac:dyDescent="0.2">
      <c r="A295" s="182"/>
      <c r="B295" s="175"/>
      <c r="C295" s="176"/>
      <c r="D295" s="176"/>
      <c r="E295" s="176"/>
      <c r="F295" s="123"/>
      <c r="G295" s="123"/>
      <c r="H295" s="123"/>
      <c r="I295" s="123"/>
      <c r="J295" s="174"/>
      <c r="K295" s="182"/>
      <c r="L295" s="123"/>
      <c r="M295" s="123"/>
      <c r="N295" s="123"/>
      <c r="O295" s="123"/>
      <c r="P295" s="123"/>
      <c r="Q295" s="123"/>
      <c r="R295" s="123"/>
      <c r="S295" s="123"/>
      <c r="T295" s="123"/>
      <c r="U295" s="123"/>
      <c r="V295" s="123"/>
      <c r="W295" s="123"/>
      <c r="X295" s="123"/>
      <c r="Y295" s="123"/>
    </row>
    <row r="296" spans="1:25" ht="15.75" customHeight="1" x14ac:dyDescent="0.2">
      <c r="A296" s="182"/>
      <c r="B296" s="175"/>
      <c r="C296" s="176"/>
      <c r="D296" s="176"/>
      <c r="E296" s="176"/>
      <c r="F296" s="123"/>
      <c r="G296" s="123"/>
      <c r="H296" s="123"/>
      <c r="I296" s="123"/>
      <c r="J296" s="174"/>
      <c r="K296" s="182"/>
      <c r="L296" s="123"/>
      <c r="M296" s="123"/>
      <c r="N296" s="123"/>
      <c r="O296" s="123"/>
      <c r="P296" s="123"/>
      <c r="Q296" s="123"/>
      <c r="R296" s="123"/>
      <c r="S296" s="123"/>
      <c r="T296" s="123"/>
      <c r="U296" s="123"/>
      <c r="V296" s="123"/>
      <c r="W296" s="123"/>
      <c r="X296" s="123"/>
      <c r="Y296" s="123"/>
    </row>
    <row r="297" spans="1:25" ht="15.75" customHeight="1" x14ac:dyDescent="0.2">
      <c r="A297" s="182"/>
      <c r="B297" s="175"/>
      <c r="C297" s="176"/>
      <c r="D297" s="176"/>
      <c r="E297" s="176"/>
      <c r="F297" s="123"/>
      <c r="G297" s="123"/>
      <c r="H297" s="123"/>
      <c r="I297" s="123"/>
      <c r="J297" s="174"/>
      <c r="K297" s="182"/>
      <c r="L297" s="123"/>
      <c r="M297" s="123"/>
      <c r="N297" s="123"/>
      <c r="O297" s="123"/>
      <c r="P297" s="123"/>
      <c r="Q297" s="123"/>
      <c r="R297" s="123"/>
      <c r="S297" s="123"/>
      <c r="T297" s="123"/>
      <c r="U297" s="123"/>
      <c r="V297" s="123"/>
      <c r="W297" s="123"/>
      <c r="X297" s="123"/>
      <c r="Y297" s="123"/>
    </row>
    <row r="298" spans="1:25" ht="15.75" customHeight="1" x14ac:dyDescent="0.2">
      <c r="A298" s="182"/>
      <c r="B298" s="175"/>
      <c r="C298" s="176"/>
      <c r="D298" s="176"/>
      <c r="E298" s="176"/>
      <c r="F298" s="123"/>
      <c r="G298" s="123"/>
      <c r="H298" s="123"/>
      <c r="I298" s="123"/>
      <c r="J298" s="174"/>
      <c r="K298" s="182"/>
      <c r="L298" s="123"/>
      <c r="M298" s="123"/>
      <c r="N298" s="123"/>
      <c r="O298" s="123"/>
      <c r="P298" s="123"/>
      <c r="Q298" s="123"/>
      <c r="R298" s="123"/>
      <c r="S298" s="123"/>
      <c r="T298" s="123"/>
      <c r="U298" s="123"/>
      <c r="V298" s="123"/>
      <c r="W298" s="123"/>
      <c r="X298" s="123"/>
      <c r="Y298" s="123"/>
    </row>
    <row r="299" spans="1:25" ht="15.75" customHeight="1" x14ac:dyDescent="0.2">
      <c r="A299" s="182"/>
      <c r="B299" s="175"/>
      <c r="C299" s="176"/>
      <c r="D299" s="176"/>
      <c r="E299" s="176"/>
      <c r="F299" s="123"/>
      <c r="G299" s="123"/>
      <c r="H299" s="123"/>
      <c r="I299" s="123"/>
      <c r="J299" s="174"/>
      <c r="K299" s="182"/>
      <c r="L299" s="123"/>
      <c r="M299" s="123"/>
      <c r="N299" s="123"/>
      <c r="O299" s="123"/>
      <c r="P299" s="123"/>
      <c r="Q299" s="123"/>
      <c r="R299" s="123"/>
      <c r="S299" s="123"/>
      <c r="T299" s="123"/>
      <c r="U299" s="123"/>
      <c r="V299" s="123"/>
      <c r="W299" s="123"/>
      <c r="X299" s="123"/>
      <c r="Y299" s="123"/>
    </row>
    <row r="300" spans="1:25" ht="15.75" customHeight="1" x14ac:dyDescent="0.2">
      <c r="A300" s="182"/>
      <c r="B300" s="175"/>
      <c r="C300" s="176"/>
      <c r="D300" s="176"/>
      <c r="E300" s="176"/>
      <c r="F300" s="123"/>
      <c r="G300" s="123"/>
      <c r="H300" s="123"/>
      <c r="I300" s="123"/>
      <c r="J300" s="174"/>
      <c r="K300" s="182"/>
      <c r="L300" s="123"/>
      <c r="M300" s="123"/>
      <c r="N300" s="123"/>
      <c r="O300" s="123"/>
      <c r="P300" s="123"/>
      <c r="Q300" s="123"/>
      <c r="R300" s="123"/>
      <c r="S300" s="123"/>
      <c r="T300" s="123"/>
      <c r="U300" s="123"/>
      <c r="V300" s="123"/>
      <c r="W300" s="123"/>
      <c r="X300" s="123"/>
      <c r="Y300" s="123"/>
    </row>
    <row r="301" spans="1:25" ht="15.75" customHeight="1" x14ac:dyDescent="0.2">
      <c r="A301" s="182"/>
      <c r="B301" s="175"/>
      <c r="C301" s="176"/>
      <c r="D301" s="176"/>
      <c r="E301" s="176"/>
      <c r="F301" s="123"/>
      <c r="G301" s="123"/>
      <c r="H301" s="123"/>
      <c r="I301" s="123"/>
      <c r="J301" s="174"/>
      <c r="K301" s="182"/>
      <c r="L301" s="123"/>
      <c r="M301" s="123"/>
      <c r="N301" s="123"/>
      <c r="O301" s="123"/>
      <c r="P301" s="123"/>
      <c r="Q301" s="123"/>
      <c r="R301" s="123"/>
      <c r="S301" s="123"/>
      <c r="T301" s="123"/>
      <c r="U301" s="123"/>
      <c r="V301" s="123"/>
      <c r="W301" s="123"/>
      <c r="X301" s="123"/>
      <c r="Y301" s="123"/>
    </row>
    <row r="302" spans="1:25" ht="15.75" customHeight="1" x14ac:dyDescent="0.2">
      <c r="A302" s="182"/>
      <c r="B302" s="175"/>
      <c r="C302" s="176"/>
      <c r="D302" s="176"/>
      <c r="E302" s="176"/>
      <c r="F302" s="123"/>
      <c r="G302" s="123"/>
      <c r="H302" s="123"/>
      <c r="I302" s="123"/>
      <c r="J302" s="174"/>
      <c r="K302" s="182"/>
      <c r="L302" s="123"/>
      <c r="M302" s="123"/>
      <c r="N302" s="123"/>
      <c r="O302" s="123"/>
      <c r="P302" s="123"/>
      <c r="Q302" s="123"/>
      <c r="R302" s="123"/>
      <c r="S302" s="123"/>
      <c r="T302" s="123"/>
      <c r="U302" s="123"/>
      <c r="V302" s="123"/>
      <c r="W302" s="123"/>
      <c r="X302" s="123"/>
      <c r="Y302" s="123"/>
    </row>
    <row r="303" spans="1:25" ht="15.75" customHeight="1" x14ac:dyDescent="0.2">
      <c r="A303" s="182"/>
      <c r="B303" s="175"/>
      <c r="C303" s="176"/>
      <c r="D303" s="176"/>
      <c r="E303" s="176"/>
      <c r="F303" s="123"/>
      <c r="G303" s="123"/>
      <c r="H303" s="123"/>
      <c r="I303" s="123"/>
      <c r="J303" s="174"/>
      <c r="K303" s="182"/>
      <c r="L303" s="123"/>
      <c r="M303" s="123"/>
      <c r="N303" s="123"/>
      <c r="O303" s="123"/>
      <c r="P303" s="123"/>
      <c r="Q303" s="123"/>
      <c r="R303" s="123"/>
      <c r="S303" s="123"/>
      <c r="T303" s="123"/>
      <c r="U303" s="123"/>
      <c r="V303" s="123"/>
      <c r="W303" s="123"/>
      <c r="X303" s="123"/>
      <c r="Y303" s="123"/>
    </row>
    <row r="304" spans="1:25" ht="15.75" customHeight="1" x14ac:dyDescent="0.2">
      <c r="A304" s="182"/>
      <c r="B304" s="175"/>
      <c r="C304" s="176"/>
      <c r="D304" s="176"/>
      <c r="E304" s="176"/>
      <c r="F304" s="123"/>
      <c r="G304" s="123"/>
      <c r="H304" s="123"/>
      <c r="I304" s="123"/>
      <c r="J304" s="174"/>
      <c r="K304" s="182"/>
      <c r="L304" s="123"/>
      <c r="M304" s="123"/>
      <c r="N304" s="123"/>
      <c r="O304" s="123"/>
      <c r="P304" s="123"/>
      <c r="Q304" s="123"/>
      <c r="R304" s="123"/>
      <c r="S304" s="123"/>
      <c r="T304" s="123"/>
      <c r="U304" s="123"/>
      <c r="V304" s="123"/>
      <c r="W304" s="123"/>
      <c r="X304" s="123"/>
      <c r="Y304" s="123"/>
    </row>
    <row r="305" spans="1:25" ht="15.75" customHeight="1" x14ac:dyDescent="0.2">
      <c r="A305" s="182"/>
      <c r="B305" s="175"/>
      <c r="C305" s="176"/>
      <c r="D305" s="176"/>
      <c r="E305" s="176"/>
      <c r="F305" s="123"/>
      <c r="G305" s="123"/>
      <c r="H305" s="123"/>
      <c r="I305" s="123"/>
      <c r="J305" s="174"/>
      <c r="K305" s="182"/>
      <c r="L305" s="123"/>
      <c r="M305" s="123"/>
      <c r="N305" s="123"/>
      <c r="O305" s="123"/>
      <c r="P305" s="123"/>
      <c r="Q305" s="123"/>
      <c r="R305" s="123"/>
      <c r="S305" s="123"/>
      <c r="T305" s="123"/>
      <c r="U305" s="123"/>
      <c r="V305" s="123"/>
      <c r="W305" s="123"/>
      <c r="X305" s="123"/>
      <c r="Y305" s="123"/>
    </row>
    <row r="306" spans="1:25" ht="15.75" customHeight="1" x14ac:dyDescent="0.2">
      <c r="A306" s="182"/>
      <c r="B306" s="175"/>
      <c r="C306" s="176"/>
      <c r="D306" s="176"/>
      <c r="E306" s="176"/>
      <c r="F306" s="123"/>
      <c r="G306" s="123"/>
      <c r="H306" s="123"/>
      <c r="I306" s="123"/>
      <c r="J306" s="174"/>
      <c r="K306" s="182"/>
      <c r="L306" s="123"/>
      <c r="M306" s="123"/>
      <c r="N306" s="123"/>
      <c r="O306" s="123"/>
      <c r="P306" s="123"/>
      <c r="Q306" s="123"/>
      <c r="R306" s="123"/>
      <c r="S306" s="123"/>
      <c r="T306" s="123"/>
      <c r="U306" s="123"/>
      <c r="V306" s="123"/>
      <c r="W306" s="123"/>
      <c r="X306" s="123"/>
      <c r="Y306" s="123"/>
    </row>
    <row r="307" spans="1:25" ht="15.75" customHeight="1" x14ac:dyDescent="0.2">
      <c r="A307" s="182"/>
      <c r="B307" s="175"/>
      <c r="C307" s="176"/>
      <c r="D307" s="176"/>
      <c r="E307" s="176"/>
      <c r="F307" s="123"/>
      <c r="G307" s="123"/>
      <c r="H307" s="123"/>
      <c r="I307" s="123"/>
      <c r="J307" s="174"/>
      <c r="K307" s="182"/>
      <c r="L307" s="123"/>
      <c r="M307" s="123"/>
      <c r="N307" s="123"/>
      <c r="O307" s="123"/>
      <c r="P307" s="123"/>
      <c r="Q307" s="123"/>
      <c r="R307" s="123"/>
      <c r="S307" s="123"/>
      <c r="T307" s="123"/>
      <c r="U307" s="123"/>
      <c r="V307" s="123"/>
      <c r="W307" s="123"/>
      <c r="X307" s="123"/>
      <c r="Y307" s="123"/>
    </row>
    <row r="308" spans="1:25" ht="15.75" customHeight="1" x14ac:dyDescent="0.2">
      <c r="A308" s="182"/>
      <c r="B308" s="175"/>
      <c r="C308" s="176"/>
      <c r="D308" s="176"/>
      <c r="E308" s="176"/>
      <c r="F308" s="123"/>
      <c r="G308" s="123"/>
      <c r="H308" s="123"/>
      <c r="I308" s="123"/>
      <c r="J308" s="174"/>
      <c r="K308" s="182"/>
      <c r="L308" s="123"/>
      <c r="M308" s="123"/>
      <c r="N308" s="123"/>
      <c r="O308" s="123"/>
      <c r="P308" s="123"/>
      <c r="Q308" s="123"/>
      <c r="R308" s="123"/>
      <c r="S308" s="123"/>
      <c r="T308" s="123"/>
      <c r="U308" s="123"/>
      <c r="V308" s="123"/>
      <c r="W308" s="123"/>
      <c r="X308" s="123"/>
      <c r="Y308" s="123"/>
    </row>
    <row r="309" spans="1:25" ht="15.75" customHeight="1" x14ac:dyDescent="0.2">
      <c r="A309" s="182"/>
      <c r="B309" s="175"/>
      <c r="C309" s="176"/>
      <c r="D309" s="176"/>
      <c r="E309" s="176"/>
      <c r="F309" s="123"/>
      <c r="G309" s="123"/>
      <c r="H309" s="123"/>
      <c r="I309" s="123"/>
      <c r="J309" s="174"/>
      <c r="K309" s="182"/>
      <c r="L309" s="123"/>
      <c r="M309" s="123"/>
      <c r="N309" s="123"/>
      <c r="O309" s="123"/>
      <c r="P309" s="123"/>
      <c r="Q309" s="123"/>
      <c r="R309" s="123"/>
      <c r="S309" s="123"/>
      <c r="T309" s="123"/>
      <c r="U309" s="123"/>
      <c r="V309" s="123"/>
      <c r="W309" s="123"/>
      <c r="X309" s="123"/>
      <c r="Y309" s="123"/>
    </row>
    <row r="310" spans="1:25" ht="15.75" customHeight="1" x14ac:dyDescent="0.2">
      <c r="A310" s="182"/>
      <c r="B310" s="175"/>
      <c r="C310" s="176"/>
      <c r="D310" s="176"/>
      <c r="E310" s="176"/>
      <c r="F310" s="123"/>
      <c r="G310" s="123"/>
      <c r="H310" s="123"/>
      <c r="I310" s="123"/>
      <c r="J310" s="174"/>
      <c r="K310" s="182"/>
      <c r="L310" s="123"/>
      <c r="M310" s="123"/>
      <c r="N310" s="123"/>
      <c r="O310" s="123"/>
      <c r="P310" s="123"/>
      <c r="Q310" s="123"/>
      <c r="R310" s="123"/>
      <c r="S310" s="123"/>
      <c r="T310" s="123"/>
      <c r="U310" s="123"/>
      <c r="V310" s="123"/>
      <c r="W310" s="123"/>
      <c r="X310" s="123"/>
      <c r="Y310" s="123"/>
    </row>
    <row r="311" spans="1:25" ht="15.75" customHeight="1" x14ac:dyDescent="0.2">
      <c r="A311" s="182"/>
      <c r="B311" s="175"/>
      <c r="C311" s="176"/>
      <c r="D311" s="176"/>
      <c r="E311" s="176"/>
      <c r="F311" s="123"/>
      <c r="G311" s="123"/>
      <c r="H311" s="123"/>
      <c r="I311" s="123"/>
      <c r="J311" s="174"/>
      <c r="K311" s="182"/>
      <c r="L311" s="123"/>
      <c r="M311" s="123"/>
      <c r="N311" s="123"/>
      <c r="O311" s="123"/>
      <c r="P311" s="123"/>
      <c r="Q311" s="123"/>
      <c r="R311" s="123"/>
      <c r="S311" s="123"/>
      <c r="T311" s="123"/>
      <c r="U311" s="123"/>
      <c r="V311" s="123"/>
      <c r="W311" s="123"/>
      <c r="X311" s="123"/>
      <c r="Y311" s="123"/>
    </row>
    <row r="312" spans="1:25" ht="15.75" customHeight="1" x14ac:dyDescent="0.2">
      <c r="A312" s="182"/>
      <c r="B312" s="175"/>
      <c r="C312" s="176"/>
      <c r="D312" s="176"/>
      <c r="E312" s="176"/>
      <c r="F312" s="123"/>
      <c r="G312" s="123"/>
      <c r="H312" s="123"/>
      <c r="I312" s="123"/>
      <c r="J312" s="174"/>
      <c r="K312" s="182"/>
      <c r="L312" s="123"/>
      <c r="M312" s="123"/>
      <c r="N312" s="123"/>
      <c r="O312" s="123"/>
      <c r="P312" s="123"/>
      <c r="Q312" s="123"/>
      <c r="R312" s="123"/>
      <c r="S312" s="123"/>
      <c r="T312" s="123"/>
      <c r="U312" s="123"/>
      <c r="V312" s="123"/>
      <c r="W312" s="123"/>
      <c r="X312" s="123"/>
      <c r="Y312" s="123"/>
    </row>
    <row r="313" spans="1:25" ht="15.75" customHeight="1" x14ac:dyDescent="0.2">
      <c r="A313" s="182"/>
      <c r="B313" s="175"/>
      <c r="C313" s="176"/>
      <c r="D313" s="176"/>
      <c r="E313" s="176"/>
      <c r="F313" s="123"/>
      <c r="G313" s="123"/>
      <c r="H313" s="123"/>
      <c r="I313" s="123"/>
      <c r="J313" s="174"/>
      <c r="K313" s="182"/>
      <c r="L313" s="123"/>
      <c r="M313" s="123"/>
      <c r="N313" s="123"/>
      <c r="O313" s="123"/>
      <c r="P313" s="123"/>
      <c r="Q313" s="123"/>
      <c r="R313" s="123"/>
      <c r="S313" s="123"/>
      <c r="T313" s="123"/>
      <c r="U313" s="123"/>
      <c r="V313" s="123"/>
      <c r="W313" s="123"/>
      <c r="X313" s="123"/>
      <c r="Y313" s="123"/>
    </row>
    <row r="314" spans="1:25" ht="15.75" customHeight="1" x14ac:dyDescent="0.2">
      <c r="A314" s="182"/>
      <c r="B314" s="175"/>
      <c r="C314" s="176"/>
      <c r="D314" s="176"/>
      <c r="E314" s="176"/>
      <c r="F314" s="123"/>
      <c r="G314" s="123"/>
      <c r="H314" s="123"/>
      <c r="I314" s="123"/>
      <c r="J314" s="174"/>
      <c r="K314" s="182"/>
      <c r="L314" s="123"/>
      <c r="M314" s="123"/>
      <c r="N314" s="123"/>
      <c r="O314" s="123"/>
      <c r="P314" s="123"/>
      <c r="Q314" s="123"/>
      <c r="R314" s="123"/>
      <c r="S314" s="123"/>
      <c r="T314" s="123"/>
      <c r="U314" s="123"/>
      <c r="V314" s="123"/>
      <c r="W314" s="123"/>
      <c r="X314" s="123"/>
      <c r="Y314" s="123"/>
    </row>
    <row r="315" spans="1:25" ht="15.75" customHeight="1" x14ac:dyDescent="0.2">
      <c r="A315" s="182"/>
      <c r="B315" s="175"/>
      <c r="C315" s="176"/>
      <c r="D315" s="176"/>
      <c r="E315" s="176"/>
      <c r="F315" s="123"/>
      <c r="G315" s="123"/>
      <c r="H315" s="123"/>
      <c r="I315" s="123"/>
      <c r="J315" s="174"/>
      <c r="K315" s="182"/>
      <c r="L315" s="123"/>
      <c r="M315" s="123"/>
      <c r="N315" s="123"/>
      <c r="O315" s="123"/>
      <c r="P315" s="123"/>
      <c r="Q315" s="123"/>
      <c r="R315" s="123"/>
      <c r="S315" s="123"/>
      <c r="T315" s="123"/>
      <c r="U315" s="123"/>
      <c r="V315" s="123"/>
      <c r="W315" s="123"/>
      <c r="X315" s="123"/>
      <c r="Y315" s="123"/>
    </row>
    <row r="316" spans="1:25" ht="15.75" customHeight="1" x14ac:dyDescent="0.2">
      <c r="A316" s="182"/>
      <c r="B316" s="175"/>
      <c r="C316" s="176"/>
      <c r="D316" s="176"/>
      <c r="E316" s="176"/>
      <c r="F316" s="123"/>
      <c r="G316" s="123"/>
      <c r="H316" s="123"/>
      <c r="I316" s="123"/>
      <c r="J316" s="174"/>
      <c r="K316" s="182"/>
      <c r="L316" s="123"/>
      <c r="M316" s="123"/>
      <c r="N316" s="123"/>
      <c r="O316" s="123"/>
      <c r="P316" s="123"/>
      <c r="Q316" s="123"/>
      <c r="R316" s="123"/>
      <c r="S316" s="123"/>
      <c r="T316" s="123"/>
      <c r="U316" s="123"/>
      <c r="V316" s="123"/>
      <c r="W316" s="123"/>
      <c r="X316" s="123"/>
      <c r="Y316" s="123"/>
    </row>
    <row r="317" spans="1:25" ht="15.75" customHeight="1" x14ac:dyDescent="0.2">
      <c r="A317" s="182"/>
      <c r="B317" s="175"/>
      <c r="C317" s="176"/>
      <c r="D317" s="176"/>
      <c r="E317" s="176"/>
      <c r="F317" s="123"/>
      <c r="G317" s="123"/>
      <c r="H317" s="123"/>
      <c r="I317" s="123"/>
      <c r="J317" s="174"/>
      <c r="K317" s="182"/>
      <c r="L317" s="123"/>
      <c r="M317" s="123"/>
      <c r="N317" s="123"/>
      <c r="O317" s="123"/>
      <c r="P317" s="123"/>
      <c r="Q317" s="123"/>
      <c r="R317" s="123"/>
      <c r="S317" s="123"/>
      <c r="T317" s="123"/>
      <c r="U317" s="123"/>
      <c r="V317" s="123"/>
      <c r="W317" s="123"/>
      <c r="X317" s="123"/>
      <c r="Y317" s="123"/>
    </row>
    <row r="318" spans="1:25" ht="15.75" customHeight="1" x14ac:dyDescent="0.2">
      <c r="A318" s="182"/>
      <c r="B318" s="175"/>
      <c r="C318" s="176"/>
      <c r="D318" s="176"/>
      <c r="E318" s="176"/>
      <c r="F318" s="123"/>
      <c r="G318" s="123"/>
      <c r="H318" s="123"/>
      <c r="I318" s="123"/>
      <c r="J318" s="174"/>
      <c r="K318" s="182"/>
      <c r="L318" s="123"/>
      <c r="M318" s="123"/>
      <c r="N318" s="123"/>
      <c r="O318" s="123"/>
      <c r="P318" s="123"/>
      <c r="Q318" s="123"/>
      <c r="R318" s="123"/>
      <c r="S318" s="123"/>
      <c r="T318" s="123"/>
      <c r="U318" s="123"/>
      <c r="V318" s="123"/>
      <c r="W318" s="123"/>
      <c r="X318" s="123"/>
      <c r="Y318" s="123"/>
    </row>
    <row r="319" spans="1:25" ht="15.75" customHeight="1" x14ac:dyDescent="0.2">
      <c r="A319" s="182"/>
      <c r="B319" s="175"/>
      <c r="C319" s="176"/>
      <c r="D319" s="176"/>
      <c r="E319" s="176"/>
      <c r="F319" s="123"/>
      <c r="G319" s="123"/>
      <c r="H319" s="123"/>
      <c r="I319" s="123"/>
      <c r="J319" s="174"/>
      <c r="K319" s="182"/>
      <c r="L319" s="123"/>
      <c r="M319" s="123"/>
      <c r="N319" s="123"/>
      <c r="O319" s="123"/>
      <c r="P319" s="123"/>
      <c r="Q319" s="123"/>
      <c r="R319" s="123"/>
      <c r="S319" s="123"/>
      <c r="T319" s="123"/>
      <c r="U319" s="123"/>
      <c r="V319" s="123"/>
      <c r="W319" s="123"/>
      <c r="X319" s="123"/>
      <c r="Y319" s="123"/>
    </row>
    <row r="320" spans="1:25" ht="15.75" customHeight="1" x14ac:dyDescent="0.2">
      <c r="A320" s="182"/>
      <c r="B320" s="175"/>
      <c r="C320" s="176"/>
      <c r="D320" s="176"/>
      <c r="E320" s="176"/>
      <c r="F320" s="123"/>
      <c r="G320" s="123"/>
      <c r="H320" s="123"/>
      <c r="I320" s="123"/>
      <c r="J320" s="174"/>
      <c r="K320" s="182"/>
      <c r="L320" s="123"/>
      <c r="M320" s="123"/>
      <c r="N320" s="123"/>
      <c r="O320" s="123"/>
      <c r="P320" s="123"/>
      <c r="Q320" s="123"/>
      <c r="R320" s="123"/>
      <c r="S320" s="123"/>
      <c r="T320" s="123"/>
      <c r="U320" s="123"/>
      <c r="V320" s="123"/>
      <c r="W320" s="123"/>
      <c r="X320" s="123"/>
      <c r="Y320" s="123"/>
    </row>
    <row r="321" spans="1:25" ht="15.75" customHeight="1" x14ac:dyDescent="0.2">
      <c r="A321" s="182"/>
      <c r="B321" s="175"/>
      <c r="C321" s="176"/>
      <c r="D321" s="176"/>
      <c r="E321" s="176"/>
      <c r="F321" s="123"/>
      <c r="G321" s="123"/>
      <c r="H321" s="123"/>
      <c r="I321" s="123"/>
      <c r="J321" s="174"/>
      <c r="K321" s="182"/>
      <c r="L321" s="123"/>
      <c r="M321" s="123"/>
      <c r="N321" s="123"/>
      <c r="O321" s="123"/>
      <c r="P321" s="123"/>
      <c r="Q321" s="123"/>
      <c r="R321" s="123"/>
      <c r="S321" s="123"/>
      <c r="T321" s="123"/>
      <c r="U321" s="123"/>
      <c r="V321" s="123"/>
      <c r="W321" s="123"/>
      <c r="X321" s="123"/>
      <c r="Y321" s="123"/>
    </row>
    <row r="322" spans="1:25" ht="15.75" customHeight="1" x14ac:dyDescent="0.2">
      <c r="A322" s="182"/>
      <c r="B322" s="175"/>
      <c r="C322" s="176"/>
      <c r="D322" s="176"/>
      <c r="E322" s="176"/>
      <c r="F322" s="123"/>
      <c r="G322" s="123"/>
      <c r="H322" s="123"/>
      <c r="I322" s="123"/>
      <c r="J322" s="174"/>
      <c r="K322" s="182"/>
      <c r="L322" s="123"/>
      <c r="M322" s="123"/>
      <c r="N322" s="123"/>
      <c r="O322" s="123"/>
      <c r="P322" s="123"/>
      <c r="Q322" s="123"/>
      <c r="R322" s="123"/>
      <c r="S322" s="123"/>
      <c r="T322" s="123"/>
      <c r="U322" s="123"/>
      <c r="V322" s="123"/>
      <c r="W322" s="123"/>
      <c r="X322" s="123"/>
      <c r="Y322" s="123"/>
    </row>
    <row r="323" spans="1:25" ht="15.75" customHeight="1" x14ac:dyDescent="0.2">
      <c r="A323" s="182"/>
      <c r="B323" s="175"/>
      <c r="C323" s="176"/>
      <c r="D323" s="176"/>
      <c r="E323" s="176"/>
      <c r="F323" s="123"/>
      <c r="G323" s="123"/>
      <c r="H323" s="123"/>
      <c r="I323" s="123"/>
      <c r="J323" s="174"/>
      <c r="K323" s="182"/>
      <c r="L323" s="123"/>
      <c r="M323" s="123"/>
      <c r="N323" s="123"/>
      <c r="O323" s="123"/>
      <c r="P323" s="123"/>
      <c r="Q323" s="123"/>
      <c r="R323" s="123"/>
      <c r="S323" s="123"/>
      <c r="T323" s="123"/>
      <c r="U323" s="123"/>
      <c r="V323" s="123"/>
      <c r="W323" s="123"/>
      <c r="X323" s="123"/>
      <c r="Y323" s="123"/>
    </row>
    <row r="324" spans="1:25" ht="15.75" customHeight="1" x14ac:dyDescent="0.2">
      <c r="A324" s="182"/>
      <c r="B324" s="175"/>
      <c r="C324" s="176"/>
      <c r="D324" s="176"/>
      <c r="E324" s="176"/>
      <c r="F324" s="123"/>
      <c r="G324" s="123"/>
      <c r="H324" s="123"/>
      <c r="I324" s="123"/>
      <c r="J324" s="174"/>
      <c r="K324" s="182"/>
      <c r="L324" s="123"/>
      <c r="M324" s="123"/>
      <c r="N324" s="123"/>
      <c r="O324" s="123"/>
      <c r="P324" s="123"/>
      <c r="Q324" s="123"/>
      <c r="R324" s="123"/>
      <c r="S324" s="123"/>
      <c r="T324" s="123"/>
      <c r="U324" s="123"/>
      <c r="V324" s="123"/>
      <c r="W324" s="123"/>
      <c r="X324" s="123"/>
      <c r="Y324" s="123"/>
    </row>
    <row r="325" spans="1:25" ht="15.75" customHeight="1" x14ac:dyDescent="0.2">
      <c r="A325" s="182"/>
      <c r="B325" s="175"/>
      <c r="C325" s="176"/>
      <c r="D325" s="176"/>
      <c r="E325" s="176"/>
      <c r="F325" s="123"/>
      <c r="G325" s="123"/>
      <c r="H325" s="123"/>
      <c r="I325" s="123"/>
      <c r="J325" s="174"/>
      <c r="K325" s="182"/>
      <c r="L325" s="123"/>
      <c r="M325" s="123"/>
      <c r="N325" s="123"/>
      <c r="O325" s="123"/>
      <c r="P325" s="123"/>
      <c r="Q325" s="123"/>
      <c r="R325" s="123"/>
      <c r="S325" s="123"/>
      <c r="T325" s="123"/>
      <c r="U325" s="123"/>
      <c r="V325" s="123"/>
      <c r="W325" s="123"/>
      <c r="X325" s="123"/>
      <c r="Y325" s="123"/>
    </row>
    <row r="326" spans="1:25" ht="15.75" customHeight="1" x14ac:dyDescent="0.2">
      <c r="A326" s="182"/>
      <c r="B326" s="175"/>
      <c r="C326" s="176"/>
      <c r="D326" s="176"/>
      <c r="E326" s="176"/>
      <c r="F326" s="123"/>
      <c r="G326" s="123"/>
      <c r="H326" s="123"/>
      <c r="I326" s="123"/>
      <c r="J326" s="174"/>
      <c r="K326" s="182"/>
      <c r="L326" s="123"/>
      <c r="M326" s="123"/>
      <c r="N326" s="123"/>
      <c r="O326" s="123"/>
      <c r="P326" s="123"/>
      <c r="Q326" s="123"/>
      <c r="R326" s="123"/>
      <c r="S326" s="123"/>
      <c r="T326" s="123"/>
      <c r="U326" s="123"/>
      <c r="V326" s="123"/>
      <c r="W326" s="123"/>
      <c r="X326" s="123"/>
      <c r="Y326" s="123"/>
    </row>
    <row r="327" spans="1:25" ht="15.75" customHeight="1" x14ac:dyDescent="0.2">
      <c r="A327" s="182"/>
      <c r="B327" s="175"/>
      <c r="C327" s="176"/>
      <c r="D327" s="176"/>
      <c r="E327" s="176"/>
      <c r="F327" s="123"/>
      <c r="G327" s="123"/>
      <c r="H327" s="123"/>
      <c r="I327" s="123"/>
      <c r="J327" s="174"/>
      <c r="K327" s="182"/>
      <c r="L327" s="123"/>
      <c r="M327" s="123"/>
      <c r="N327" s="123"/>
      <c r="O327" s="123"/>
      <c r="P327" s="123"/>
      <c r="Q327" s="123"/>
      <c r="R327" s="123"/>
      <c r="S327" s="123"/>
      <c r="T327" s="123"/>
      <c r="U327" s="123"/>
      <c r="V327" s="123"/>
      <c r="W327" s="123"/>
      <c r="X327" s="123"/>
      <c r="Y327" s="123"/>
    </row>
    <row r="328" spans="1:25" ht="15.75" customHeight="1" x14ac:dyDescent="0.2">
      <c r="A328" s="182"/>
      <c r="B328" s="175"/>
      <c r="C328" s="176"/>
      <c r="D328" s="176"/>
      <c r="E328" s="176"/>
      <c r="F328" s="123"/>
      <c r="G328" s="123"/>
      <c r="H328" s="123"/>
      <c r="I328" s="123"/>
      <c r="J328" s="174"/>
      <c r="K328" s="182"/>
      <c r="L328" s="123"/>
      <c r="M328" s="123"/>
      <c r="N328" s="123"/>
      <c r="O328" s="123"/>
      <c r="P328" s="123"/>
      <c r="Q328" s="123"/>
      <c r="R328" s="123"/>
      <c r="S328" s="123"/>
      <c r="T328" s="123"/>
      <c r="U328" s="123"/>
      <c r="V328" s="123"/>
      <c r="W328" s="123"/>
      <c r="X328" s="123"/>
      <c r="Y328" s="123"/>
    </row>
    <row r="329" spans="1:25" ht="15.75" customHeight="1" x14ac:dyDescent="0.2">
      <c r="A329" s="182"/>
      <c r="B329" s="175"/>
      <c r="C329" s="176"/>
      <c r="D329" s="176"/>
      <c r="E329" s="176"/>
      <c r="F329" s="123"/>
      <c r="G329" s="123"/>
      <c r="H329" s="123"/>
      <c r="I329" s="123"/>
      <c r="J329" s="174"/>
      <c r="K329" s="182"/>
      <c r="L329" s="123"/>
      <c r="M329" s="123"/>
      <c r="N329" s="123"/>
      <c r="O329" s="123"/>
      <c r="P329" s="123"/>
      <c r="Q329" s="123"/>
      <c r="R329" s="123"/>
      <c r="S329" s="123"/>
      <c r="T329" s="123"/>
      <c r="U329" s="123"/>
      <c r="V329" s="123"/>
      <c r="W329" s="123"/>
      <c r="X329" s="123"/>
      <c r="Y329" s="123"/>
    </row>
    <row r="330" spans="1:25" ht="15.75" customHeight="1" x14ac:dyDescent="0.2">
      <c r="A330" s="182"/>
      <c r="B330" s="175"/>
      <c r="C330" s="176"/>
      <c r="D330" s="176"/>
      <c r="E330" s="176"/>
      <c r="F330" s="123"/>
      <c r="G330" s="123"/>
      <c r="H330" s="123"/>
      <c r="I330" s="123"/>
      <c r="J330" s="174"/>
      <c r="K330" s="182"/>
      <c r="L330" s="123"/>
      <c r="M330" s="123"/>
      <c r="N330" s="123"/>
      <c r="O330" s="123"/>
      <c r="P330" s="123"/>
      <c r="Q330" s="123"/>
      <c r="R330" s="123"/>
      <c r="S330" s="123"/>
      <c r="T330" s="123"/>
      <c r="U330" s="123"/>
      <c r="V330" s="123"/>
      <c r="W330" s="123"/>
      <c r="X330" s="123"/>
      <c r="Y330" s="123"/>
    </row>
    <row r="331" spans="1:25" ht="15.75" customHeight="1" x14ac:dyDescent="0.2">
      <c r="A331" s="182"/>
      <c r="B331" s="175"/>
      <c r="C331" s="176"/>
      <c r="D331" s="176"/>
      <c r="E331" s="176"/>
      <c r="F331" s="123"/>
      <c r="G331" s="123"/>
      <c r="H331" s="123"/>
      <c r="I331" s="123"/>
      <c r="J331" s="174"/>
      <c r="K331" s="182"/>
      <c r="L331" s="123"/>
      <c r="M331" s="123"/>
      <c r="N331" s="123"/>
      <c r="O331" s="123"/>
      <c r="P331" s="123"/>
      <c r="Q331" s="123"/>
      <c r="R331" s="123"/>
      <c r="S331" s="123"/>
      <c r="T331" s="123"/>
      <c r="U331" s="123"/>
      <c r="V331" s="123"/>
      <c r="W331" s="123"/>
      <c r="X331" s="123"/>
      <c r="Y331" s="123"/>
    </row>
    <row r="332" spans="1:25" ht="15.75" customHeight="1" x14ac:dyDescent="0.2">
      <c r="A332" s="182"/>
      <c r="B332" s="175"/>
      <c r="C332" s="176"/>
      <c r="D332" s="176"/>
      <c r="E332" s="176"/>
      <c r="F332" s="123"/>
      <c r="G332" s="123"/>
      <c r="H332" s="123"/>
      <c r="I332" s="123"/>
      <c r="J332" s="174"/>
      <c r="K332" s="182"/>
      <c r="L332" s="123"/>
      <c r="M332" s="123"/>
      <c r="N332" s="123"/>
      <c r="O332" s="123"/>
      <c r="P332" s="123"/>
      <c r="Q332" s="123"/>
      <c r="R332" s="123"/>
      <c r="S332" s="123"/>
      <c r="T332" s="123"/>
      <c r="U332" s="123"/>
      <c r="V332" s="123"/>
      <c r="W332" s="123"/>
      <c r="X332" s="123"/>
      <c r="Y332" s="123"/>
    </row>
    <row r="333" spans="1:25" ht="15.75" customHeight="1" x14ac:dyDescent="0.2">
      <c r="A333" s="182"/>
      <c r="B333" s="175"/>
      <c r="C333" s="176"/>
      <c r="D333" s="176"/>
      <c r="E333" s="176"/>
      <c r="F333" s="123"/>
      <c r="G333" s="123"/>
      <c r="H333" s="123"/>
      <c r="I333" s="123"/>
      <c r="J333" s="174"/>
      <c r="K333" s="182"/>
      <c r="L333" s="123"/>
      <c r="M333" s="123"/>
      <c r="N333" s="123"/>
      <c r="O333" s="123"/>
      <c r="P333" s="123"/>
      <c r="Q333" s="123"/>
      <c r="R333" s="123"/>
      <c r="S333" s="123"/>
      <c r="T333" s="123"/>
      <c r="U333" s="123"/>
      <c r="V333" s="123"/>
      <c r="W333" s="123"/>
      <c r="X333" s="123"/>
      <c r="Y333" s="123"/>
    </row>
    <row r="334" spans="1:25" ht="15.75" customHeight="1" x14ac:dyDescent="0.2">
      <c r="A334" s="182"/>
      <c r="B334" s="175"/>
      <c r="C334" s="176"/>
      <c r="D334" s="176"/>
      <c r="E334" s="176"/>
      <c r="F334" s="123"/>
      <c r="G334" s="123"/>
      <c r="H334" s="123"/>
      <c r="I334" s="123"/>
      <c r="J334" s="174"/>
      <c r="K334" s="182"/>
      <c r="L334" s="123"/>
      <c r="M334" s="123"/>
      <c r="N334" s="123"/>
      <c r="O334" s="123"/>
      <c r="P334" s="123"/>
      <c r="Q334" s="123"/>
      <c r="R334" s="123"/>
      <c r="S334" s="123"/>
      <c r="T334" s="123"/>
      <c r="U334" s="123"/>
      <c r="V334" s="123"/>
      <c r="W334" s="123"/>
      <c r="X334" s="123"/>
      <c r="Y334" s="123"/>
    </row>
    <row r="335" spans="1:25" ht="15.75" customHeight="1" x14ac:dyDescent="0.2">
      <c r="A335" s="182"/>
      <c r="B335" s="175"/>
      <c r="C335" s="176"/>
      <c r="D335" s="176"/>
      <c r="E335" s="176"/>
      <c r="F335" s="123"/>
      <c r="G335" s="123"/>
      <c r="H335" s="123"/>
      <c r="I335" s="123"/>
      <c r="J335" s="174"/>
      <c r="K335" s="182"/>
      <c r="L335" s="123"/>
      <c r="M335" s="123"/>
      <c r="N335" s="123"/>
      <c r="O335" s="123"/>
      <c r="P335" s="123"/>
      <c r="Q335" s="123"/>
      <c r="R335" s="123"/>
      <c r="S335" s="123"/>
      <c r="T335" s="123"/>
      <c r="U335" s="123"/>
      <c r="V335" s="123"/>
      <c r="W335" s="123"/>
      <c r="X335" s="123"/>
      <c r="Y335" s="123"/>
    </row>
    <row r="336" spans="1:25" ht="15.75" customHeight="1" x14ac:dyDescent="0.2">
      <c r="A336" s="182"/>
      <c r="B336" s="175"/>
      <c r="C336" s="176"/>
      <c r="D336" s="176"/>
      <c r="E336" s="176"/>
      <c r="F336" s="123"/>
      <c r="G336" s="123"/>
      <c r="H336" s="123"/>
      <c r="I336" s="123"/>
      <c r="J336" s="174"/>
      <c r="K336" s="182"/>
      <c r="L336" s="123"/>
      <c r="M336" s="123"/>
      <c r="N336" s="123"/>
      <c r="O336" s="123"/>
      <c r="P336" s="123"/>
      <c r="Q336" s="123"/>
      <c r="R336" s="123"/>
      <c r="S336" s="123"/>
      <c r="T336" s="123"/>
      <c r="U336" s="123"/>
      <c r="V336" s="123"/>
      <c r="W336" s="123"/>
      <c r="X336" s="123"/>
      <c r="Y336" s="123"/>
    </row>
    <row r="337" spans="1:25" ht="15.75" customHeight="1" x14ac:dyDescent="0.2">
      <c r="A337" s="182"/>
      <c r="B337" s="175"/>
      <c r="C337" s="176"/>
      <c r="D337" s="176"/>
      <c r="E337" s="176"/>
      <c r="F337" s="123"/>
      <c r="G337" s="123"/>
      <c r="H337" s="123"/>
      <c r="I337" s="123"/>
      <c r="J337" s="174"/>
      <c r="K337" s="182"/>
      <c r="L337" s="123"/>
      <c r="M337" s="123"/>
      <c r="N337" s="123"/>
      <c r="O337" s="123"/>
      <c r="P337" s="123"/>
      <c r="Q337" s="123"/>
      <c r="R337" s="123"/>
      <c r="S337" s="123"/>
      <c r="T337" s="123"/>
      <c r="U337" s="123"/>
      <c r="V337" s="123"/>
      <c r="W337" s="123"/>
      <c r="X337" s="123"/>
      <c r="Y337" s="123"/>
    </row>
    <row r="338" spans="1:25" ht="15.75" customHeight="1" x14ac:dyDescent="0.2">
      <c r="A338" s="182"/>
      <c r="B338" s="175"/>
      <c r="C338" s="176"/>
      <c r="D338" s="176"/>
      <c r="E338" s="176"/>
      <c r="F338" s="123"/>
      <c r="G338" s="123"/>
      <c r="H338" s="123"/>
      <c r="I338" s="123"/>
      <c r="J338" s="174"/>
      <c r="K338" s="182"/>
      <c r="L338" s="123"/>
      <c r="M338" s="123"/>
      <c r="N338" s="123"/>
      <c r="O338" s="123"/>
      <c r="P338" s="123"/>
      <c r="Q338" s="123"/>
      <c r="R338" s="123"/>
      <c r="S338" s="123"/>
      <c r="T338" s="123"/>
      <c r="U338" s="123"/>
      <c r="V338" s="123"/>
      <c r="W338" s="123"/>
      <c r="X338" s="123"/>
      <c r="Y338" s="123"/>
    </row>
    <row r="339" spans="1:25" ht="15.75" customHeight="1" x14ac:dyDescent="0.2">
      <c r="A339" s="182"/>
      <c r="B339" s="175"/>
      <c r="C339" s="176"/>
      <c r="D339" s="176"/>
      <c r="E339" s="176"/>
      <c r="F339" s="123"/>
      <c r="G339" s="123"/>
      <c r="H339" s="123"/>
      <c r="I339" s="123"/>
      <c r="J339" s="174"/>
      <c r="K339" s="182"/>
      <c r="L339" s="123"/>
      <c r="M339" s="123"/>
      <c r="N339" s="123"/>
      <c r="O339" s="123"/>
      <c r="P339" s="123"/>
      <c r="Q339" s="123"/>
      <c r="R339" s="123"/>
      <c r="S339" s="123"/>
      <c r="T339" s="123"/>
      <c r="U339" s="123"/>
      <c r="V339" s="123"/>
      <c r="W339" s="123"/>
      <c r="X339" s="123"/>
      <c r="Y339" s="123"/>
    </row>
    <row r="340" spans="1:25" ht="15.75" customHeight="1" x14ac:dyDescent="0.2">
      <c r="A340" s="182"/>
      <c r="B340" s="175"/>
      <c r="C340" s="176"/>
      <c r="D340" s="176"/>
      <c r="E340" s="176"/>
      <c r="F340" s="123"/>
      <c r="G340" s="123"/>
      <c r="H340" s="123"/>
      <c r="I340" s="123"/>
      <c r="J340" s="174"/>
      <c r="K340" s="182"/>
      <c r="L340" s="123"/>
      <c r="M340" s="123"/>
      <c r="N340" s="123"/>
      <c r="O340" s="123"/>
      <c r="P340" s="123"/>
      <c r="Q340" s="123"/>
      <c r="R340" s="123"/>
      <c r="S340" s="123"/>
      <c r="T340" s="123"/>
      <c r="U340" s="123"/>
      <c r="V340" s="123"/>
      <c r="W340" s="123"/>
      <c r="X340" s="123"/>
      <c r="Y340" s="123"/>
    </row>
    <row r="341" spans="1:25" ht="15.75" customHeight="1" x14ac:dyDescent="0.2">
      <c r="A341" s="182"/>
      <c r="B341" s="175"/>
      <c r="C341" s="176"/>
      <c r="D341" s="176"/>
      <c r="E341" s="176"/>
      <c r="F341" s="123"/>
      <c r="G341" s="123"/>
      <c r="H341" s="123"/>
      <c r="I341" s="123"/>
      <c r="J341" s="174"/>
      <c r="K341" s="182"/>
      <c r="L341" s="123"/>
      <c r="M341" s="123"/>
      <c r="N341" s="123"/>
      <c r="O341" s="123"/>
      <c r="P341" s="123"/>
      <c r="Q341" s="123"/>
      <c r="R341" s="123"/>
      <c r="S341" s="123"/>
      <c r="T341" s="123"/>
      <c r="U341" s="123"/>
      <c r="V341" s="123"/>
      <c r="W341" s="123"/>
      <c r="X341" s="123"/>
      <c r="Y341" s="123"/>
    </row>
    <row r="342" spans="1:25" ht="15.75" customHeight="1" x14ac:dyDescent="0.2">
      <c r="A342" s="182"/>
      <c r="B342" s="175"/>
      <c r="C342" s="176"/>
      <c r="D342" s="176"/>
      <c r="E342" s="176"/>
      <c r="F342" s="123"/>
      <c r="G342" s="123"/>
      <c r="H342" s="123"/>
      <c r="I342" s="123"/>
      <c r="J342" s="174"/>
      <c r="K342" s="182"/>
      <c r="L342" s="123"/>
      <c r="M342" s="123"/>
      <c r="N342" s="123"/>
      <c r="O342" s="123"/>
      <c r="P342" s="123"/>
      <c r="Q342" s="123"/>
      <c r="R342" s="123"/>
      <c r="S342" s="123"/>
      <c r="T342" s="123"/>
      <c r="U342" s="123"/>
      <c r="V342" s="123"/>
      <c r="W342" s="123"/>
      <c r="X342" s="123"/>
      <c r="Y342" s="123"/>
    </row>
    <row r="343" spans="1:25" ht="15.75" customHeight="1" x14ac:dyDescent="0.2">
      <c r="A343" s="182"/>
      <c r="B343" s="175"/>
      <c r="C343" s="176"/>
      <c r="D343" s="176"/>
      <c r="E343" s="176"/>
      <c r="F343" s="123"/>
      <c r="G343" s="123"/>
      <c r="H343" s="123"/>
      <c r="I343" s="123"/>
      <c r="J343" s="174"/>
      <c r="K343" s="182"/>
      <c r="L343" s="123"/>
      <c r="M343" s="123"/>
      <c r="N343" s="123"/>
      <c r="O343" s="123"/>
      <c r="P343" s="123"/>
      <c r="Q343" s="123"/>
      <c r="R343" s="123"/>
      <c r="S343" s="123"/>
      <c r="T343" s="123"/>
      <c r="U343" s="123"/>
      <c r="V343" s="123"/>
      <c r="W343" s="123"/>
      <c r="X343" s="123"/>
      <c r="Y343" s="123"/>
    </row>
    <row r="344" spans="1:25" ht="15.75" customHeight="1" x14ac:dyDescent="0.2">
      <c r="A344" s="182"/>
      <c r="B344" s="175"/>
      <c r="C344" s="176"/>
      <c r="D344" s="176"/>
      <c r="E344" s="176"/>
      <c r="F344" s="123"/>
      <c r="G344" s="123"/>
      <c r="H344" s="123"/>
      <c r="I344" s="123"/>
      <c r="J344" s="174"/>
      <c r="K344" s="182"/>
      <c r="L344" s="123"/>
      <c r="M344" s="123"/>
      <c r="N344" s="123"/>
      <c r="O344" s="123"/>
      <c r="P344" s="123"/>
      <c r="Q344" s="123"/>
      <c r="R344" s="123"/>
      <c r="S344" s="123"/>
      <c r="T344" s="123"/>
      <c r="U344" s="123"/>
      <c r="V344" s="123"/>
      <c r="W344" s="123"/>
      <c r="X344" s="123"/>
      <c r="Y344" s="123"/>
    </row>
    <row r="345" spans="1:25" ht="15.75" customHeight="1" x14ac:dyDescent="0.2">
      <c r="A345" s="182"/>
      <c r="B345" s="175"/>
      <c r="C345" s="176"/>
      <c r="D345" s="176"/>
      <c r="E345" s="176"/>
      <c r="F345" s="123"/>
      <c r="G345" s="123"/>
      <c r="H345" s="123"/>
      <c r="I345" s="123"/>
      <c r="J345" s="174"/>
      <c r="K345" s="182"/>
      <c r="L345" s="123"/>
      <c r="M345" s="123"/>
      <c r="N345" s="123"/>
      <c r="O345" s="123"/>
      <c r="P345" s="123"/>
      <c r="Q345" s="123"/>
      <c r="R345" s="123"/>
      <c r="S345" s="123"/>
      <c r="T345" s="123"/>
      <c r="U345" s="123"/>
      <c r="V345" s="123"/>
      <c r="W345" s="123"/>
      <c r="X345" s="123"/>
      <c r="Y345" s="123"/>
    </row>
    <row r="346" spans="1:25" ht="15.75" customHeight="1" x14ac:dyDescent="0.2">
      <c r="A346" s="182"/>
      <c r="B346" s="175"/>
      <c r="C346" s="176"/>
      <c r="D346" s="176"/>
      <c r="E346" s="176"/>
      <c r="F346" s="123"/>
      <c r="G346" s="123"/>
      <c r="H346" s="123"/>
      <c r="I346" s="123"/>
      <c r="J346" s="174"/>
      <c r="K346" s="182"/>
      <c r="L346" s="123"/>
      <c r="M346" s="123"/>
      <c r="N346" s="123"/>
      <c r="O346" s="123"/>
      <c r="P346" s="123"/>
      <c r="Q346" s="123"/>
      <c r="R346" s="123"/>
      <c r="S346" s="123"/>
      <c r="T346" s="123"/>
      <c r="U346" s="123"/>
      <c r="V346" s="123"/>
      <c r="W346" s="123"/>
      <c r="X346" s="123"/>
      <c r="Y346" s="123"/>
    </row>
    <row r="347" spans="1:25" ht="15.75" customHeight="1" x14ac:dyDescent="0.2">
      <c r="A347" s="182"/>
      <c r="B347" s="175"/>
      <c r="C347" s="176"/>
      <c r="D347" s="176"/>
      <c r="E347" s="176"/>
      <c r="F347" s="123"/>
      <c r="G347" s="123"/>
      <c r="H347" s="123"/>
      <c r="I347" s="123"/>
      <c r="J347" s="174"/>
      <c r="K347" s="182"/>
      <c r="L347" s="123"/>
      <c r="M347" s="123"/>
      <c r="N347" s="123"/>
      <c r="O347" s="123"/>
      <c r="P347" s="123"/>
      <c r="Q347" s="123"/>
      <c r="R347" s="123"/>
      <c r="S347" s="123"/>
      <c r="T347" s="123"/>
      <c r="U347" s="123"/>
      <c r="V347" s="123"/>
      <c r="W347" s="123"/>
      <c r="X347" s="123"/>
      <c r="Y347" s="123"/>
    </row>
    <row r="348" spans="1:25" ht="15.75" customHeight="1" x14ac:dyDescent="0.2">
      <c r="A348" s="182"/>
      <c r="B348" s="175"/>
      <c r="C348" s="176"/>
      <c r="D348" s="176"/>
      <c r="E348" s="176"/>
      <c r="F348" s="123"/>
      <c r="G348" s="123"/>
      <c r="H348" s="123"/>
      <c r="I348" s="123"/>
      <c r="J348" s="174"/>
      <c r="K348" s="182"/>
      <c r="L348" s="123"/>
      <c r="M348" s="123"/>
      <c r="N348" s="123"/>
      <c r="O348" s="123"/>
      <c r="P348" s="123"/>
      <c r="Q348" s="123"/>
      <c r="R348" s="123"/>
      <c r="S348" s="123"/>
      <c r="T348" s="123"/>
      <c r="U348" s="123"/>
      <c r="V348" s="123"/>
      <c r="W348" s="123"/>
      <c r="X348" s="123"/>
      <c r="Y348" s="123"/>
    </row>
    <row r="349" spans="1:25" ht="15.75" customHeight="1" x14ac:dyDescent="0.2">
      <c r="A349" s="182"/>
      <c r="B349" s="175"/>
      <c r="C349" s="176"/>
      <c r="D349" s="176"/>
      <c r="E349" s="176"/>
      <c r="F349" s="123"/>
      <c r="G349" s="123"/>
      <c r="H349" s="123"/>
      <c r="I349" s="123"/>
      <c r="J349" s="174"/>
      <c r="K349" s="182"/>
      <c r="L349" s="123"/>
      <c r="M349" s="123"/>
      <c r="N349" s="123"/>
      <c r="O349" s="123"/>
      <c r="P349" s="123"/>
      <c r="Q349" s="123"/>
      <c r="R349" s="123"/>
      <c r="S349" s="123"/>
      <c r="T349" s="123"/>
      <c r="U349" s="123"/>
      <c r="V349" s="123"/>
      <c r="W349" s="123"/>
      <c r="X349" s="123"/>
      <c r="Y349" s="123"/>
    </row>
    <row r="350" spans="1:25" ht="15.75" customHeight="1" x14ac:dyDescent="0.2">
      <c r="A350" s="182"/>
      <c r="B350" s="175"/>
      <c r="C350" s="176"/>
      <c r="D350" s="176"/>
      <c r="E350" s="176"/>
      <c r="F350" s="123"/>
      <c r="G350" s="123"/>
      <c r="H350" s="123"/>
      <c r="I350" s="123"/>
      <c r="J350" s="174"/>
      <c r="K350" s="182"/>
      <c r="L350" s="123"/>
      <c r="M350" s="123"/>
      <c r="N350" s="123"/>
      <c r="O350" s="123"/>
      <c r="P350" s="123"/>
      <c r="Q350" s="123"/>
      <c r="R350" s="123"/>
      <c r="S350" s="123"/>
      <c r="T350" s="123"/>
      <c r="U350" s="123"/>
      <c r="V350" s="123"/>
      <c r="W350" s="123"/>
      <c r="X350" s="123"/>
      <c r="Y350" s="123"/>
    </row>
    <row r="351" spans="1:25" ht="15.75" customHeight="1" x14ac:dyDescent="0.2">
      <c r="A351" s="182"/>
      <c r="B351" s="175"/>
      <c r="C351" s="176"/>
      <c r="D351" s="176"/>
      <c r="E351" s="176"/>
      <c r="F351" s="123"/>
      <c r="G351" s="123"/>
      <c r="H351" s="123"/>
      <c r="I351" s="123"/>
      <c r="J351" s="174"/>
      <c r="K351" s="182"/>
      <c r="L351" s="123"/>
      <c r="M351" s="123"/>
      <c r="N351" s="123"/>
      <c r="O351" s="123"/>
      <c r="P351" s="123"/>
      <c r="Q351" s="123"/>
      <c r="R351" s="123"/>
      <c r="S351" s="123"/>
      <c r="T351" s="123"/>
      <c r="U351" s="123"/>
      <c r="V351" s="123"/>
      <c r="W351" s="123"/>
      <c r="X351" s="123"/>
      <c r="Y351" s="123"/>
    </row>
    <row r="352" spans="1:25" ht="15.75" customHeight="1" x14ac:dyDescent="0.2">
      <c r="A352" s="182"/>
      <c r="B352" s="175"/>
      <c r="C352" s="176"/>
      <c r="D352" s="176"/>
      <c r="E352" s="176"/>
      <c r="F352" s="123"/>
      <c r="G352" s="123"/>
      <c r="H352" s="123"/>
      <c r="I352" s="123"/>
      <c r="J352" s="174"/>
      <c r="K352" s="182"/>
      <c r="L352" s="123"/>
      <c r="M352" s="123"/>
      <c r="N352" s="123"/>
      <c r="O352" s="123"/>
      <c r="P352" s="123"/>
      <c r="Q352" s="123"/>
      <c r="R352" s="123"/>
      <c r="S352" s="123"/>
      <c r="T352" s="123"/>
      <c r="U352" s="123"/>
      <c r="V352" s="123"/>
      <c r="W352" s="123"/>
      <c r="X352" s="123"/>
      <c r="Y352" s="123"/>
    </row>
    <row r="353" spans="1:25" ht="15.75" customHeight="1" x14ac:dyDescent="0.2">
      <c r="A353" s="182"/>
      <c r="B353" s="175"/>
      <c r="C353" s="176"/>
      <c r="D353" s="176"/>
      <c r="E353" s="176"/>
      <c r="F353" s="123"/>
      <c r="G353" s="123"/>
      <c r="H353" s="123"/>
      <c r="I353" s="123"/>
      <c r="J353" s="174"/>
      <c r="K353" s="182"/>
      <c r="L353" s="123"/>
      <c r="M353" s="123"/>
      <c r="N353" s="123"/>
      <c r="O353" s="123"/>
      <c r="P353" s="123"/>
      <c r="Q353" s="123"/>
      <c r="R353" s="123"/>
      <c r="S353" s="123"/>
      <c r="T353" s="123"/>
      <c r="U353" s="123"/>
      <c r="V353" s="123"/>
      <c r="W353" s="123"/>
      <c r="X353" s="123"/>
      <c r="Y353" s="123"/>
    </row>
    <row r="354" spans="1:25" ht="15.75" customHeight="1" x14ac:dyDescent="0.2">
      <c r="A354" s="182"/>
      <c r="B354" s="175"/>
      <c r="C354" s="176"/>
      <c r="D354" s="176"/>
      <c r="E354" s="176"/>
      <c r="F354" s="123"/>
      <c r="G354" s="123"/>
      <c r="H354" s="123"/>
      <c r="I354" s="123"/>
      <c r="J354" s="174"/>
      <c r="K354" s="182"/>
      <c r="L354" s="123"/>
      <c r="M354" s="123"/>
      <c r="N354" s="123"/>
      <c r="O354" s="123"/>
      <c r="P354" s="123"/>
      <c r="Q354" s="123"/>
      <c r="R354" s="123"/>
      <c r="S354" s="123"/>
      <c r="T354" s="123"/>
      <c r="U354" s="123"/>
      <c r="V354" s="123"/>
      <c r="W354" s="123"/>
      <c r="X354" s="123"/>
      <c r="Y354" s="123"/>
    </row>
    <row r="355" spans="1:25" ht="15.75" customHeight="1" x14ac:dyDescent="0.2">
      <c r="A355" s="182"/>
      <c r="B355" s="175"/>
      <c r="C355" s="176"/>
      <c r="D355" s="176"/>
      <c r="E355" s="176"/>
      <c r="F355" s="123"/>
      <c r="G355" s="123"/>
      <c r="H355" s="123"/>
      <c r="I355" s="123"/>
      <c r="J355" s="174"/>
      <c r="K355" s="182"/>
      <c r="L355" s="123"/>
      <c r="M355" s="123"/>
      <c r="N355" s="123"/>
      <c r="O355" s="123"/>
      <c r="P355" s="123"/>
      <c r="Q355" s="123"/>
      <c r="R355" s="123"/>
      <c r="S355" s="123"/>
      <c r="T355" s="123"/>
      <c r="U355" s="123"/>
      <c r="V355" s="123"/>
      <c r="W355" s="123"/>
      <c r="X355" s="123"/>
      <c r="Y355" s="123"/>
    </row>
    <row r="356" spans="1:25" ht="15.75" customHeight="1" x14ac:dyDescent="0.2">
      <c r="A356" s="182"/>
      <c r="B356" s="175"/>
      <c r="C356" s="176"/>
      <c r="D356" s="176"/>
      <c r="E356" s="176"/>
      <c r="F356" s="123"/>
      <c r="G356" s="123"/>
      <c r="H356" s="123"/>
      <c r="I356" s="123"/>
      <c r="J356" s="174"/>
      <c r="K356" s="182"/>
      <c r="L356" s="123"/>
      <c r="M356" s="123"/>
      <c r="N356" s="123"/>
      <c r="O356" s="123"/>
      <c r="P356" s="123"/>
      <c r="Q356" s="123"/>
      <c r="R356" s="123"/>
      <c r="S356" s="123"/>
      <c r="T356" s="123"/>
      <c r="U356" s="123"/>
      <c r="V356" s="123"/>
      <c r="W356" s="123"/>
      <c r="X356" s="123"/>
      <c r="Y356" s="123"/>
    </row>
    <row r="357" spans="1:25" ht="15.75" customHeight="1" x14ac:dyDescent="0.2">
      <c r="A357" s="182"/>
      <c r="B357" s="175"/>
      <c r="C357" s="176"/>
      <c r="D357" s="176"/>
      <c r="E357" s="176"/>
      <c r="F357" s="123"/>
      <c r="G357" s="123"/>
      <c r="H357" s="123"/>
      <c r="I357" s="123"/>
      <c r="J357" s="174"/>
      <c r="K357" s="182"/>
      <c r="L357" s="123"/>
      <c r="M357" s="123"/>
      <c r="N357" s="123"/>
      <c r="O357" s="123"/>
      <c r="P357" s="123"/>
      <c r="Q357" s="123"/>
      <c r="R357" s="123"/>
      <c r="S357" s="123"/>
      <c r="T357" s="123"/>
      <c r="U357" s="123"/>
      <c r="V357" s="123"/>
      <c r="W357" s="123"/>
      <c r="X357" s="123"/>
      <c r="Y357" s="123"/>
    </row>
    <row r="358" spans="1:25" ht="15.75" customHeight="1" x14ac:dyDescent="0.2">
      <c r="A358" s="182"/>
      <c r="B358" s="175"/>
      <c r="C358" s="176"/>
      <c r="D358" s="176"/>
      <c r="E358" s="176"/>
      <c r="F358" s="123"/>
      <c r="G358" s="123"/>
      <c r="H358" s="123"/>
      <c r="I358" s="123"/>
      <c r="J358" s="174"/>
      <c r="K358" s="182"/>
      <c r="L358" s="123"/>
      <c r="M358" s="123"/>
      <c r="N358" s="123"/>
      <c r="O358" s="123"/>
      <c r="P358" s="123"/>
      <c r="Q358" s="123"/>
      <c r="R358" s="123"/>
      <c r="S358" s="123"/>
      <c r="T358" s="123"/>
      <c r="U358" s="123"/>
      <c r="V358" s="123"/>
      <c r="W358" s="123"/>
      <c r="X358" s="123"/>
      <c r="Y358" s="123"/>
    </row>
    <row r="359" spans="1:25" ht="15.75" customHeight="1" x14ac:dyDescent="0.2">
      <c r="A359" s="182"/>
      <c r="B359" s="175"/>
      <c r="C359" s="176"/>
      <c r="D359" s="176"/>
      <c r="E359" s="176"/>
      <c r="F359" s="123"/>
      <c r="G359" s="123"/>
      <c r="H359" s="123"/>
      <c r="I359" s="123"/>
      <c r="J359" s="174"/>
      <c r="K359" s="182"/>
      <c r="L359" s="123"/>
      <c r="M359" s="123"/>
      <c r="N359" s="123"/>
      <c r="O359" s="123"/>
      <c r="P359" s="123"/>
      <c r="Q359" s="123"/>
      <c r="R359" s="123"/>
      <c r="S359" s="123"/>
      <c r="T359" s="123"/>
      <c r="U359" s="123"/>
      <c r="V359" s="123"/>
      <c r="W359" s="123"/>
      <c r="X359" s="123"/>
      <c r="Y359" s="123"/>
    </row>
    <row r="360" spans="1:25" ht="15.75" customHeight="1" x14ac:dyDescent="0.2">
      <c r="A360" s="182"/>
      <c r="B360" s="175"/>
      <c r="C360" s="176"/>
      <c r="D360" s="176"/>
      <c r="E360" s="176"/>
      <c r="F360" s="123"/>
      <c r="G360" s="123"/>
      <c r="H360" s="123"/>
      <c r="I360" s="123"/>
      <c r="J360" s="174"/>
      <c r="K360" s="182"/>
      <c r="L360" s="123"/>
      <c r="M360" s="123"/>
      <c r="N360" s="123"/>
      <c r="O360" s="123"/>
      <c r="P360" s="123"/>
      <c r="Q360" s="123"/>
      <c r="R360" s="123"/>
      <c r="S360" s="123"/>
      <c r="T360" s="123"/>
      <c r="U360" s="123"/>
      <c r="V360" s="123"/>
      <c r="W360" s="123"/>
      <c r="X360" s="123"/>
      <c r="Y360" s="123"/>
    </row>
    <row r="361" spans="1:25" ht="15.75" customHeight="1" x14ac:dyDescent="0.2">
      <c r="A361" s="182"/>
      <c r="B361" s="175"/>
      <c r="C361" s="176"/>
      <c r="D361" s="176"/>
      <c r="E361" s="176"/>
      <c r="F361" s="123"/>
      <c r="G361" s="123"/>
      <c r="H361" s="123"/>
      <c r="I361" s="123"/>
      <c r="J361" s="174"/>
      <c r="K361" s="182"/>
      <c r="L361" s="123"/>
      <c r="M361" s="123"/>
      <c r="N361" s="123"/>
      <c r="O361" s="123"/>
      <c r="P361" s="123"/>
      <c r="Q361" s="123"/>
      <c r="R361" s="123"/>
      <c r="S361" s="123"/>
      <c r="T361" s="123"/>
      <c r="U361" s="123"/>
      <c r="V361" s="123"/>
      <c r="W361" s="123"/>
      <c r="X361" s="123"/>
      <c r="Y361" s="123"/>
    </row>
    <row r="362" spans="1:25" ht="15.75" customHeight="1" x14ac:dyDescent="0.2">
      <c r="A362" s="182"/>
      <c r="B362" s="175"/>
      <c r="C362" s="176"/>
      <c r="D362" s="176"/>
      <c r="E362" s="176"/>
      <c r="F362" s="123"/>
      <c r="G362" s="123"/>
      <c r="H362" s="123"/>
      <c r="I362" s="123"/>
      <c r="J362" s="174"/>
      <c r="K362" s="182"/>
      <c r="L362" s="123"/>
      <c r="M362" s="123"/>
      <c r="N362" s="123"/>
      <c r="O362" s="123"/>
      <c r="P362" s="123"/>
      <c r="Q362" s="123"/>
      <c r="R362" s="123"/>
      <c r="S362" s="123"/>
      <c r="T362" s="123"/>
      <c r="U362" s="123"/>
      <c r="V362" s="123"/>
      <c r="W362" s="123"/>
      <c r="X362" s="123"/>
      <c r="Y362" s="123"/>
    </row>
    <row r="363" spans="1:25" ht="15.75" customHeight="1" x14ac:dyDescent="0.2">
      <c r="A363" s="182"/>
      <c r="B363" s="175"/>
      <c r="C363" s="176"/>
      <c r="D363" s="176"/>
      <c r="E363" s="176"/>
      <c r="F363" s="123"/>
      <c r="G363" s="123"/>
      <c r="H363" s="123"/>
      <c r="I363" s="123"/>
      <c r="J363" s="174"/>
      <c r="K363" s="182"/>
      <c r="L363" s="123"/>
      <c r="M363" s="123"/>
      <c r="N363" s="123"/>
      <c r="O363" s="123"/>
      <c r="P363" s="123"/>
      <c r="Q363" s="123"/>
      <c r="R363" s="123"/>
      <c r="S363" s="123"/>
      <c r="T363" s="123"/>
      <c r="U363" s="123"/>
      <c r="V363" s="123"/>
      <c r="W363" s="123"/>
      <c r="X363" s="123"/>
      <c r="Y363" s="123"/>
    </row>
    <row r="364" spans="1:25" ht="15.75" customHeight="1" x14ac:dyDescent="0.2">
      <c r="A364" s="182"/>
      <c r="B364" s="175"/>
      <c r="C364" s="176"/>
      <c r="D364" s="176"/>
      <c r="E364" s="176"/>
      <c r="F364" s="123"/>
      <c r="G364" s="123"/>
      <c r="H364" s="123"/>
      <c r="I364" s="123"/>
      <c r="J364" s="174"/>
      <c r="K364" s="182"/>
      <c r="L364" s="123"/>
      <c r="M364" s="123"/>
      <c r="N364" s="123"/>
      <c r="O364" s="123"/>
      <c r="P364" s="123"/>
      <c r="Q364" s="123"/>
      <c r="R364" s="123"/>
      <c r="S364" s="123"/>
      <c r="T364" s="123"/>
      <c r="U364" s="123"/>
      <c r="V364" s="123"/>
      <c r="W364" s="123"/>
      <c r="X364" s="123"/>
      <c r="Y364" s="123"/>
    </row>
    <row r="365" spans="1:25" ht="15.75" customHeight="1" x14ac:dyDescent="0.2">
      <c r="A365" s="182"/>
      <c r="B365" s="175"/>
      <c r="C365" s="176"/>
      <c r="D365" s="176"/>
      <c r="E365" s="176"/>
      <c r="F365" s="123"/>
      <c r="G365" s="123"/>
      <c r="H365" s="123"/>
      <c r="I365" s="123"/>
      <c r="J365" s="174"/>
      <c r="K365" s="182"/>
      <c r="L365" s="123"/>
      <c r="M365" s="123"/>
      <c r="N365" s="123"/>
      <c r="O365" s="123"/>
      <c r="P365" s="123"/>
      <c r="Q365" s="123"/>
      <c r="R365" s="123"/>
      <c r="S365" s="123"/>
      <c r="T365" s="123"/>
      <c r="U365" s="123"/>
      <c r="V365" s="123"/>
      <c r="W365" s="123"/>
      <c r="X365" s="123"/>
      <c r="Y365" s="123"/>
    </row>
    <row r="366" spans="1:25" ht="15.75" customHeight="1" x14ac:dyDescent="0.2">
      <c r="A366" s="182"/>
      <c r="B366" s="175"/>
      <c r="C366" s="176"/>
      <c r="D366" s="176"/>
      <c r="E366" s="176"/>
      <c r="F366" s="123"/>
      <c r="G366" s="123"/>
      <c r="H366" s="123"/>
      <c r="I366" s="123"/>
      <c r="J366" s="174"/>
      <c r="K366" s="182"/>
      <c r="L366" s="123"/>
      <c r="M366" s="123"/>
      <c r="N366" s="123"/>
      <c r="O366" s="123"/>
      <c r="P366" s="123"/>
      <c r="Q366" s="123"/>
      <c r="R366" s="123"/>
      <c r="S366" s="123"/>
      <c r="T366" s="123"/>
      <c r="U366" s="123"/>
      <c r="V366" s="123"/>
      <c r="W366" s="123"/>
      <c r="X366" s="123"/>
      <c r="Y366" s="123"/>
    </row>
    <row r="367" spans="1:25" ht="15.75" customHeight="1" x14ac:dyDescent="0.2">
      <c r="A367" s="182"/>
      <c r="B367" s="175"/>
      <c r="C367" s="176"/>
      <c r="D367" s="176"/>
      <c r="E367" s="176"/>
      <c r="F367" s="123"/>
      <c r="G367" s="123"/>
      <c r="H367" s="123"/>
      <c r="I367" s="123"/>
      <c r="J367" s="174"/>
      <c r="K367" s="182"/>
      <c r="L367" s="123"/>
      <c r="M367" s="123"/>
      <c r="N367" s="123"/>
      <c r="O367" s="123"/>
      <c r="P367" s="123"/>
      <c r="Q367" s="123"/>
      <c r="R367" s="123"/>
      <c r="S367" s="123"/>
      <c r="T367" s="123"/>
      <c r="U367" s="123"/>
      <c r="V367" s="123"/>
      <c r="W367" s="123"/>
      <c r="X367" s="123"/>
      <c r="Y367" s="123"/>
    </row>
    <row r="368" spans="1:25" ht="15.75" customHeight="1" x14ac:dyDescent="0.2">
      <c r="A368" s="182"/>
      <c r="B368" s="175"/>
      <c r="C368" s="176"/>
      <c r="D368" s="176"/>
      <c r="E368" s="176"/>
      <c r="F368" s="123"/>
      <c r="G368" s="123"/>
      <c r="H368" s="123"/>
      <c r="I368" s="123"/>
      <c r="J368" s="174"/>
      <c r="K368" s="182"/>
      <c r="L368" s="123"/>
      <c r="M368" s="123"/>
      <c r="N368" s="123"/>
      <c r="O368" s="123"/>
      <c r="P368" s="123"/>
      <c r="Q368" s="123"/>
      <c r="R368" s="123"/>
      <c r="S368" s="123"/>
      <c r="T368" s="123"/>
      <c r="U368" s="123"/>
      <c r="V368" s="123"/>
      <c r="W368" s="123"/>
      <c r="X368" s="123"/>
      <c r="Y368" s="123"/>
    </row>
    <row r="369" spans="1:25" ht="15.75" customHeight="1" x14ac:dyDescent="0.2">
      <c r="A369" s="182"/>
      <c r="B369" s="175"/>
      <c r="C369" s="176"/>
      <c r="D369" s="176"/>
      <c r="E369" s="176"/>
      <c r="F369" s="123"/>
      <c r="G369" s="123"/>
      <c r="H369" s="123"/>
      <c r="I369" s="123"/>
      <c r="J369" s="174"/>
      <c r="K369" s="182"/>
      <c r="L369" s="123"/>
      <c r="M369" s="123"/>
      <c r="N369" s="123"/>
      <c r="O369" s="123"/>
      <c r="P369" s="123"/>
      <c r="Q369" s="123"/>
      <c r="R369" s="123"/>
      <c r="S369" s="123"/>
      <c r="T369" s="123"/>
      <c r="U369" s="123"/>
      <c r="V369" s="123"/>
      <c r="W369" s="123"/>
      <c r="X369" s="123"/>
      <c r="Y369" s="123"/>
    </row>
    <row r="370" spans="1:25" ht="15.75" customHeight="1" x14ac:dyDescent="0.2">
      <c r="A370" s="182"/>
      <c r="B370" s="175"/>
      <c r="C370" s="176"/>
      <c r="D370" s="176"/>
      <c r="E370" s="176"/>
      <c r="F370" s="123"/>
      <c r="G370" s="123"/>
      <c r="H370" s="123"/>
      <c r="I370" s="123"/>
      <c r="J370" s="174"/>
      <c r="K370" s="182"/>
      <c r="L370" s="123"/>
      <c r="M370" s="123"/>
      <c r="N370" s="123"/>
      <c r="O370" s="123"/>
      <c r="P370" s="123"/>
      <c r="Q370" s="123"/>
      <c r="R370" s="123"/>
      <c r="S370" s="123"/>
      <c r="T370" s="123"/>
      <c r="U370" s="123"/>
      <c r="V370" s="123"/>
      <c r="W370" s="123"/>
      <c r="X370" s="123"/>
      <c r="Y370" s="123"/>
    </row>
    <row r="371" spans="1:25" ht="15.75" customHeight="1" x14ac:dyDescent="0.2">
      <c r="A371" s="182"/>
      <c r="B371" s="175"/>
      <c r="C371" s="176"/>
      <c r="D371" s="176"/>
      <c r="E371" s="176"/>
      <c r="F371" s="123"/>
      <c r="G371" s="123"/>
      <c r="H371" s="123"/>
      <c r="I371" s="123"/>
      <c r="J371" s="174"/>
      <c r="K371" s="182"/>
      <c r="L371" s="123"/>
      <c r="M371" s="123"/>
      <c r="N371" s="123"/>
      <c r="O371" s="123"/>
      <c r="P371" s="123"/>
      <c r="Q371" s="123"/>
      <c r="R371" s="123"/>
      <c r="S371" s="123"/>
      <c r="T371" s="123"/>
      <c r="U371" s="123"/>
      <c r="V371" s="123"/>
      <c r="W371" s="123"/>
      <c r="X371" s="123"/>
      <c r="Y371" s="123"/>
    </row>
    <row r="372" spans="1:25" ht="15.75" customHeight="1" x14ac:dyDescent="0.2">
      <c r="A372" s="182"/>
      <c r="B372" s="175"/>
      <c r="C372" s="176"/>
      <c r="D372" s="176"/>
      <c r="E372" s="176"/>
      <c r="F372" s="123"/>
      <c r="G372" s="123"/>
      <c r="H372" s="123"/>
      <c r="I372" s="123"/>
      <c r="J372" s="174"/>
      <c r="K372" s="182"/>
      <c r="L372" s="123"/>
      <c r="M372" s="123"/>
      <c r="N372" s="123"/>
      <c r="O372" s="123"/>
      <c r="P372" s="123"/>
      <c r="Q372" s="123"/>
      <c r="R372" s="123"/>
      <c r="S372" s="123"/>
      <c r="T372" s="123"/>
      <c r="U372" s="123"/>
      <c r="V372" s="123"/>
      <c r="W372" s="123"/>
      <c r="X372" s="123"/>
      <c r="Y372" s="123"/>
    </row>
    <row r="373" spans="1:25" ht="15.75" customHeight="1" x14ac:dyDescent="0.2">
      <c r="A373" s="182"/>
      <c r="B373" s="175"/>
      <c r="C373" s="176"/>
      <c r="D373" s="176"/>
      <c r="E373" s="176"/>
      <c r="F373" s="123"/>
      <c r="G373" s="123"/>
      <c r="H373" s="123"/>
      <c r="I373" s="123"/>
      <c r="J373" s="174"/>
      <c r="K373" s="182"/>
      <c r="L373" s="123"/>
      <c r="M373" s="123"/>
      <c r="N373" s="123"/>
      <c r="O373" s="123"/>
      <c r="P373" s="123"/>
      <c r="Q373" s="123"/>
      <c r="R373" s="123"/>
      <c r="S373" s="123"/>
      <c r="T373" s="123"/>
      <c r="U373" s="123"/>
      <c r="V373" s="123"/>
      <c r="W373" s="123"/>
      <c r="X373" s="123"/>
      <c r="Y373" s="123"/>
    </row>
    <row r="374" spans="1:25" ht="15.75" customHeight="1" x14ac:dyDescent="0.2">
      <c r="A374" s="182"/>
      <c r="B374" s="175"/>
      <c r="C374" s="176"/>
      <c r="D374" s="176"/>
      <c r="E374" s="176"/>
      <c r="F374" s="123"/>
      <c r="G374" s="123"/>
      <c r="H374" s="123"/>
      <c r="I374" s="123"/>
      <c r="J374" s="174"/>
      <c r="K374" s="182"/>
      <c r="L374" s="123"/>
      <c r="M374" s="123"/>
      <c r="N374" s="123"/>
      <c r="O374" s="123"/>
      <c r="P374" s="123"/>
      <c r="Q374" s="123"/>
      <c r="R374" s="123"/>
      <c r="S374" s="123"/>
      <c r="T374" s="123"/>
      <c r="U374" s="123"/>
      <c r="V374" s="123"/>
      <c r="W374" s="123"/>
      <c r="X374" s="123"/>
      <c r="Y374" s="123"/>
    </row>
    <row r="375" spans="1:25" ht="15.75" customHeight="1" x14ac:dyDescent="0.2">
      <c r="A375" s="182"/>
      <c r="B375" s="175"/>
      <c r="C375" s="176"/>
      <c r="D375" s="176"/>
      <c r="E375" s="176"/>
      <c r="F375" s="123"/>
      <c r="G375" s="123"/>
      <c r="H375" s="123"/>
      <c r="I375" s="123"/>
      <c r="J375" s="174"/>
      <c r="K375" s="182"/>
      <c r="L375" s="123"/>
      <c r="M375" s="123"/>
      <c r="N375" s="123"/>
      <c r="O375" s="123"/>
      <c r="P375" s="123"/>
      <c r="Q375" s="123"/>
      <c r="R375" s="123"/>
      <c r="S375" s="123"/>
      <c r="T375" s="123"/>
      <c r="U375" s="123"/>
      <c r="V375" s="123"/>
      <c r="W375" s="123"/>
      <c r="X375" s="123"/>
      <c r="Y375" s="123"/>
    </row>
    <row r="376" spans="1:25" ht="15.75" customHeight="1" x14ac:dyDescent="0.2">
      <c r="A376" s="182"/>
      <c r="B376" s="175"/>
      <c r="C376" s="176"/>
      <c r="D376" s="176"/>
      <c r="E376" s="176"/>
      <c r="F376" s="123"/>
      <c r="G376" s="123"/>
      <c r="H376" s="123"/>
      <c r="I376" s="123"/>
      <c r="J376" s="174"/>
      <c r="K376" s="182"/>
      <c r="L376" s="123"/>
      <c r="M376" s="123"/>
      <c r="N376" s="123"/>
      <c r="O376" s="123"/>
      <c r="P376" s="123"/>
      <c r="Q376" s="123"/>
      <c r="R376" s="123"/>
      <c r="S376" s="123"/>
      <c r="T376" s="123"/>
      <c r="U376" s="123"/>
      <c r="V376" s="123"/>
      <c r="W376" s="123"/>
      <c r="X376" s="123"/>
      <c r="Y376" s="123"/>
    </row>
    <row r="377" spans="1:25" ht="15.75" customHeight="1" x14ac:dyDescent="0.2">
      <c r="A377" s="182"/>
      <c r="B377" s="175"/>
      <c r="C377" s="176"/>
      <c r="D377" s="176"/>
      <c r="E377" s="176"/>
      <c r="F377" s="123"/>
      <c r="G377" s="123"/>
      <c r="H377" s="123"/>
      <c r="I377" s="123"/>
      <c r="J377" s="174"/>
      <c r="K377" s="182"/>
      <c r="L377" s="123"/>
      <c r="M377" s="123"/>
      <c r="N377" s="123"/>
      <c r="O377" s="123"/>
      <c r="P377" s="123"/>
      <c r="Q377" s="123"/>
      <c r="R377" s="123"/>
      <c r="S377" s="123"/>
      <c r="T377" s="123"/>
      <c r="U377" s="123"/>
      <c r="V377" s="123"/>
      <c r="W377" s="123"/>
      <c r="X377" s="123"/>
      <c r="Y377" s="123"/>
    </row>
    <row r="378" spans="1:25" ht="15.75" customHeight="1" x14ac:dyDescent="0.2">
      <c r="A378" s="182"/>
      <c r="B378" s="175"/>
      <c r="C378" s="176"/>
      <c r="D378" s="176"/>
      <c r="E378" s="176"/>
      <c r="F378" s="123"/>
      <c r="G378" s="123"/>
      <c r="H378" s="123"/>
      <c r="I378" s="123"/>
      <c r="J378" s="174"/>
      <c r="K378" s="182"/>
      <c r="L378" s="123"/>
      <c r="M378" s="123"/>
      <c r="N378" s="123"/>
      <c r="O378" s="123"/>
      <c r="P378" s="123"/>
      <c r="Q378" s="123"/>
      <c r="R378" s="123"/>
      <c r="S378" s="123"/>
      <c r="T378" s="123"/>
      <c r="U378" s="123"/>
      <c r="V378" s="123"/>
      <c r="W378" s="123"/>
      <c r="X378" s="123"/>
      <c r="Y378" s="123"/>
    </row>
    <row r="379" spans="1:25" ht="15.75" customHeight="1" x14ac:dyDescent="0.2">
      <c r="A379" s="182"/>
      <c r="B379" s="175"/>
      <c r="C379" s="176"/>
      <c r="D379" s="176"/>
      <c r="E379" s="176"/>
      <c r="F379" s="123"/>
      <c r="G379" s="123"/>
      <c r="H379" s="123"/>
      <c r="I379" s="123"/>
      <c r="J379" s="174"/>
      <c r="K379" s="182"/>
      <c r="L379" s="123"/>
      <c r="M379" s="123"/>
      <c r="N379" s="123"/>
      <c r="O379" s="123"/>
      <c r="P379" s="123"/>
      <c r="Q379" s="123"/>
      <c r="R379" s="123"/>
      <c r="S379" s="123"/>
      <c r="T379" s="123"/>
      <c r="U379" s="123"/>
      <c r="V379" s="123"/>
      <c r="W379" s="123"/>
      <c r="X379" s="123"/>
      <c r="Y379" s="123"/>
    </row>
    <row r="380" spans="1:25" ht="15.75" customHeight="1" x14ac:dyDescent="0.2">
      <c r="A380" s="182"/>
      <c r="B380" s="175"/>
      <c r="C380" s="176"/>
      <c r="D380" s="176"/>
      <c r="E380" s="176"/>
      <c r="F380" s="123"/>
      <c r="G380" s="123"/>
      <c r="H380" s="123"/>
      <c r="I380" s="123"/>
      <c r="J380" s="174"/>
      <c r="K380" s="182"/>
      <c r="L380" s="123"/>
      <c r="M380" s="123"/>
      <c r="N380" s="123"/>
      <c r="O380" s="123"/>
      <c r="P380" s="123"/>
      <c r="Q380" s="123"/>
      <c r="R380" s="123"/>
      <c r="S380" s="123"/>
      <c r="T380" s="123"/>
      <c r="U380" s="123"/>
      <c r="V380" s="123"/>
      <c r="W380" s="123"/>
      <c r="X380" s="123"/>
      <c r="Y380" s="123"/>
    </row>
    <row r="381" spans="1:25" ht="15.75" customHeight="1" x14ac:dyDescent="0.2">
      <c r="A381" s="182"/>
      <c r="B381" s="175"/>
      <c r="C381" s="176"/>
      <c r="D381" s="176"/>
      <c r="E381" s="176"/>
      <c r="F381" s="123"/>
      <c r="G381" s="123"/>
      <c r="H381" s="123"/>
      <c r="I381" s="123"/>
      <c r="J381" s="174"/>
      <c r="K381" s="182"/>
      <c r="L381" s="123"/>
      <c r="M381" s="123"/>
      <c r="N381" s="123"/>
      <c r="O381" s="123"/>
      <c r="P381" s="123"/>
      <c r="Q381" s="123"/>
      <c r="R381" s="123"/>
      <c r="S381" s="123"/>
      <c r="T381" s="123"/>
      <c r="U381" s="123"/>
      <c r="V381" s="123"/>
      <c r="W381" s="123"/>
      <c r="X381" s="123"/>
      <c r="Y381" s="123"/>
    </row>
    <row r="382" spans="1:25" ht="15.75" customHeight="1" x14ac:dyDescent="0.2">
      <c r="A382" s="182"/>
      <c r="B382" s="175"/>
      <c r="C382" s="176"/>
      <c r="D382" s="176"/>
      <c r="E382" s="176"/>
      <c r="F382" s="123"/>
      <c r="G382" s="123"/>
      <c r="H382" s="123"/>
      <c r="I382" s="123"/>
      <c r="J382" s="174"/>
      <c r="K382" s="182"/>
      <c r="L382" s="123"/>
      <c r="M382" s="123"/>
      <c r="N382" s="123"/>
      <c r="O382" s="123"/>
      <c r="P382" s="123"/>
      <c r="Q382" s="123"/>
      <c r="R382" s="123"/>
      <c r="S382" s="123"/>
      <c r="T382" s="123"/>
      <c r="U382" s="123"/>
      <c r="V382" s="123"/>
      <c r="W382" s="123"/>
      <c r="X382" s="123"/>
      <c r="Y382" s="123"/>
    </row>
    <row r="383" spans="1:25" ht="15.75" customHeight="1" x14ac:dyDescent="0.2">
      <c r="A383" s="182"/>
      <c r="B383" s="175"/>
      <c r="C383" s="176"/>
      <c r="D383" s="176"/>
      <c r="E383" s="176"/>
      <c r="F383" s="123"/>
      <c r="G383" s="123"/>
      <c r="H383" s="123"/>
      <c r="I383" s="123"/>
      <c r="J383" s="174"/>
      <c r="K383" s="182"/>
      <c r="L383" s="123"/>
      <c r="M383" s="123"/>
      <c r="N383" s="123"/>
      <c r="O383" s="123"/>
      <c r="P383" s="123"/>
      <c r="Q383" s="123"/>
      <c r="R383" s="123"/>
      <c r="S383" s="123"/>
      <c r="T383" s="123"/>
      <c r="U383" s="123"/>
      <c r="V383" s="123"/>
      <c r="W383" s="123"/>
      <c r="X383" s="123"/>
      <c r="Y383" s="123"/>
    </row>
    <row r="384" spans="1:25" ht="15.75" customHeight="1" x14ac:dyDescent="0.2">
      <c r="A384" s="182"/>
      <c r="B384" s="175"/>
      <c r="C384" s="176"/>
      <c r="D384" s="176"/>
      <c r="E384" s="176"/>
      <c r="F384" s="123"/>
      <c r="G384" s="123"/>
      <c r="H384" s="123"/>
      <c r="I384" s="123"/>
      <c r="J384" s="174"/>
      <c r="K384" s="182"/>
      <c r="L384" s="123"/>
      <c r="M384" s="123"/>
      <c r="N384" s="123"/>
      <c r="O384" s="123"/>
      <c r="P384" s="123"/>
      <c r="Q384" s="123"/>
      <c r="R384" s="123"/>
      <c r="S384" s="123"/>
      <c r="T384" s="123"/>
      <c r="U384" s="123"/>
      <c r="V384" s="123"/>
      <c r="W384" s="123"/>
      <c r="X384" s="123"/>
      <c r="Y384" s="123"/>
    </row>
    <row r="385" spans="1:25" ht="15.75" customHeight="1" x14ac:dyDescent="0.2">
      <c r="A385" s="182"/>
      <c r="B385" s="175"/>
      <c r="C385" s="176"/>
      <c r="D385" s="176"/>
      <c r="E385" s="176"/>
      <c r="F385" s="123"/>
      <c r="G385" s="123"/>
      <c r="H385" s="123"/>
      <c r="I385" s="123"/>
      <c r="J385" s="174"/>
      <c r="K385" s="182"/>
      <c r="L385" s="123"/>
      <c r="M385" s="123"/>
      <c r="N385" s="123"/>
      <c r="O385" s="123"/>
      <c r="P385" s="123"/>
      <c r="Q385" s="123"/>
      <c r="R385" s="123"/>
      <c r="S385" s="123"/>
      <c r="T385" s="123"/>
      <c r="U385" s="123"/>
      <c r="V385" s="123"/>
      <c r="W385" s="123"/>
      <c r="X385" s="123"/>
      <c r="Y385" s="123"/>
    </row>
    <row r="386" spans="1:25" ht="15.75" customHeight="1" x14ac:dyDescent="0.2">
      <c r="A386" s="182"/>
      <c r="B386" s="175"/>
      <c r="C386" s="176"/>
      <c r="D386" s="176"/>
      <c r="E386" s="176"/>
      <c r="F386" s="123"/>
      <c r="G386" s="123"/>
      <c r="H386" s="123"/>
      <c r="I386" s="123"/>
      <c r="J386" s="174"/>
      <c r="K386" s="182"/>
      <c r="L386" s="123"/>
      <c r="M386" s="123"/>
      <c r="N386" s="123"/>
      <c r="O386" s="123"/>
      <c r="P386" s="123"/>
      <c r="Q386" s="123"/>
      <c r="R386" s="123"/>
      <c r="S386" s="123"/>
      <c r="T386" s="123"/>
      <c r="U386" s="123"/>
      <c r="V386" s="123"/>
      <c r="W386" s="123"/>
      <c r="X386" s="123"/>
      <c r="Y386" s="123"/>
    </row>
    <row r="387" spans="1:25" ht="15.75" customHeight="1" x14ac:dyDescent="0.2">
      <c r="A387" s="182"/>
      <c r="B387" s="175"/>
      <c r="C387" s="176"/>
      <c r="D387" s="176"/>
      <c r="E387" s="176"/>
      <c r="F387" s="123"/>
      <c r="G387" s="123"/>
      <c r="H387" s="123"/>
      <c r="I387" s="123"/>
      <c r="J387" s="174"/>
      <c r="K387" s="182"/>
      <c r="L387" s="123"/>
      <c r="M387" s="123"/>
      <c r="N387" s="123"/>
      <c r="O387" s="123"/>
      <c r="P387" s="123"/>
      <c r="Q387" s="123"/>
      <c r="R387" s="123"/>
      <c r="S387" s="123"/>
      <c r="T387" s="123"/>
      <c r="U387" s="123"/>
      <c r="V387" s="123"/>
      <c r="W387" s="123"/>
      <c r="X387" s="123"/>
      <c r="Y387" s="123"/>
    </row>
    <row r="388" spans="1:25" ht="15.75" customHeight="1" x14ac:dyDescent="0.2">
      <c r="A388" s="182"/>
      <c r="B388" s="175"/>
      <c r="C388" s="176"/>
      <c r="D388" s="176"/>
      <c r="E388" s="176"/>
      <c r="F388" s="123"/>
      <c r="G388" s="123"/>
      <c r="H388" s="123"/>
      <c r="I388" s="123"/>
      <c r="J388" s="174"/>
      <c r="K388" s="182"/>
      <c r="L388" s="123"/>
      <c r="M388" s="123"/>
      <c r="N388" s="123"/>
      <c r="O388" s="123"/>
      <c r="P388" s="123"/>
      <c r="Q388" s="123"/>
      <c r="R388" s="123"/>
      <c r="S388" s="123"/>
      <c r="T388" s="123"/>
      <c r="U388" s="123"/>
      <c r="V388" s="123"/>
      <c r="W388" s="123"/>
      <c r="X388" s="123"/>
      <c r="Y388" s="123"/>
    </row>
    <row r="389" spans="1:25" ht="15.75" customHeight="1" x14ac:dyDescent="0.2">
      <c r="A389" s="182"/>
      <c r="B389" s="175"/>
      <c r="C389" s="176"/>
      <c r="D389" s="176"/>
      <c r="E389" s="176"/>
      <c r="F389" s="123"/>
      <c r="G389" s="123"/>
      <c r="H389" s="123"/>
      <c r="I389" s="123"/>
      <c r="J389" s="174"/>
      <c r="K389" s="182"/>
      <c r="L389" s="123"/>
      <c r="M389" s="123"/>
      <c r="N389" s="123"/>
      <c r="O389" s="123"/>
      <c r="P389" s="123"/>
      <c r="Q389" s="123"/>
      <c r="R389" s="123"/>
      <c r="S389" s="123"/>
      <c r="T389" s="123"/>
      <c r="U389" s="123"/>
      <c r="V389" s="123"/>
      <c r="W389" s="123"/>
      <c r="X389" s="123"/>
      <c r="Y389" s="123"/>
    </row>
    <row r="390" spans="1:25" ht="15.75" customHeight="1" x14ac:dyDescent="0.2">
      <c r="A390" s="182"/>
      <c r="B390" s="175"/>
      <c r="C390" s="176"/>
      <c r="D390" s="176"/>
      <c r="E390" s="176"/>
      <c r="F390" s="123"/>
      <c r="G390" s="123"/>
      <c r="H390" s="123"/>
      <c r="I390" s="123"/>
      <c r="J390" s="174"/>
      <c r="K390" s="182"/>
      <c r="L390" s="123"/>
      <c r="M390" s="123"/>
      <c r="N390" s="123"/>
      <c r="O390" s="123"/>
      <c r="P390" s="123"/>
      <c r="Q390" s="123"/>
      <c r="R390" s="123"/>
      <c r="S390" s="123"/>
      <c r="T390" s="123"/>
      <c r="U390" s="123"/>
      <c r="V390" s="123"/>
      <c r="W390" s="123"/>
      <c r="X390" s="123"/>
      <c r="Y390" s="123"/>
    </row>
    <row r="391" spans="1:25" ht="15.75" customHeight="1" x14ac:dyDescent="0.2">
      <c r="A391" s="182"/>
      <c r="B391" s="175"/>
      <c r="C391" s="176"/>
      <c r="D391" s="176"/>
      <c r="E391" s="176"/>
      <c r="F391" s="123"/>
      <c r="G391" s="123"/>
      <c r="H391" s="123"/>
      <c r="I391" s="123"/>
      <c r="J391" s="174"/>
      <c r="K391" s="182"/>
      <c r="L391" s="123"/>
      <c r="M391" s="123"/>
      <c r="N391" s="123"/>
      <c r="O391" s="123"/>
      <c r="P391" s="123"/>
      <c r="Q391" s="123"/>
      <c r="R391" s="123"/>
      <c r="S391" s="123"/>
      <c r="T391" s="123"/>
      <c r="U391" s="123"/>
      <c r="V391" s="123"/>
      <c r="W391" s="123"/>
      <c r="X391" s="123"/>
      <c r="Y391" s="123"/>
    </row>
    <row r="392" spans="1:25" ht="15.75" customHeight="1" x14ac:dyDescent="0.2">
      <c r="A392" s="182"/>
      <c r="B392" s="175"/>
      <c r="C392" s="176"/>
      <c r="D392" s="176"/>
      <c r="E392" s="176"/>
      <c r="F392" s="123"/>
      <c r="G392" s="123"/>
      <c r="H392" s="123"/>
      <c r="I392" s="123"/>
      <c r="J392" s="174"/>
      <c r="K392" s="182"/>
      <c r="L392" s="123"/>
      <c r="M392" s="123"/>
      <c r="N392" s="123"/>
      <c r="O392" s="123"/>
      <c r="P392" s="123"/>
      <c r="Q392" s="123"/>
      <c r="R392" s="123"/>
      <c r="S392" s="123"/>
      <c r="T392" s="123"/>
      <c r="U392" s="123"/>
      <c r="V392" s="123"/>
      <c r="W392" s="123"/>
      <c r="X392" s="123"/>
      <c r="Y392" s="123"/>
    </row>
    <row r="393" spans="1:25" ht="15.75" customHeight="1" x14ac:dyDescent="0.2">
      <c r="A393" s="182"/>
      <c r="B393" s="175"/>
      <c r="C393" s="176"/>
      <c r="D393" s="176"/>
      <c r="E393" s="176"/>
      <c r="F393" s="123"/>
      <c r="G393" s="123"/>
      <c r="H393" s="123"/>
      <c r="I393" s="123"/>
      <c r="J393" s="174"/>
      <c r="K393" s="182"/>
      <c r="L393" s="123"/>
      <c r="M393" s="123"/>
      <c r="N393" s="123"/>
      <c r="O393" s="123"/>
      <c r="P393" s="123"/>
      <c r="Q393" s="123"/>
      <c r="R393" s="123"/>
      <c r="S393" s="123"/>
      <c r="T393" s="123"/>
      <c r="U393" s="123"/>
      <c r="V393" s="123"/>
      <c r="W393" s="123"/>
      <c r="X393" s="123"/>
      <c r="Y393" s="123"/>
    </row>
    <row r="394" spans="1:25" ht="15.75" customHeight="1" x14ac:dyDescent="0.2">
      <c r="A394" s="182"/>
      <c r="B394" s="175"/>
      <c r="C394" s="176"/>
      <c r="D394" s="176"/>
      <c r="E394" s="176"/>
      <c r="F394" s="123"/>
      <c r="G394" s="123"/>
      <c r="H394" s="123"/>
      <c r="I394" s="123"/>
      <c r="J394" s="174"/>
      <c r="K394" s="182"/>
      <c r="L394" s="123"/>
      <c r="M394" s="123"/>
      <c r="N394" s="123"/>
      <c r="O394" s="123"/>
      <c r="P394" s="123"/>
      <c r="Q394" s="123"/>
      <c r="R394" s="123"/>
      <c r="S394" s="123"/>
      <c r="T394" s="123"/>
      <c r="U394" s="123"/>
      <c r="V394" s="123"/>
      <c r="W394" s="123"/>
      <c r="X394" s="123"/>
      <c r="Y394" s="123"/>
    </row>
    <row r="395" spans="1:25" ht="15.75" customHeight="1" x14ac:dyDescent="0.2">
      <c r="A395" s="182"/>
      <c r="B395" s="175"/>
      <c r="C395" s="176"/>
      <c r="D395" s="176"/>
      <c r="E395" s="176"/>
      <c r="F395" s="123"/>
      <c r="G395" s="123"/>
      <c r="H395" s="123"/>
      <c r="I395" s="123"/>
      <c r="J395" s="174"/>
      <c r="K395" s="182"/>
      <c r="L395" s="123"/>
      <c r="M395" s="123"/>
      <c r="N395" s="123"/>
      <c r="O395" s="123"/>
      <c r="P395" s="123"/>
      <c r="Q395" s="123"/>
      <c r="R395" s="123"/>
      <c r="S395" s="123"/>
      <c r="T395" s="123"/>
      <c r="U395" s="123"/>
      <c r="V395" s="123"/>
      <c r="W395" s="123"/>
      <c r="X395" s="123"/>
      <c r="Y395" s="123"/>
    </row>
    <row r="396" spans="1:25" ht="15.75" customHeight="1" x14ac:dyDescent="0.2">
      <c r="A396" s="182"/>
      <c r="B396" s="175"/>
      <c r="C396" s="176"/>
      <c r="D396" s="176"/>
      <c r="E396" s="176"/>
      <c r="F396" s="123"/>
      <c r="G396" s="123"/>
      <c r="H396" s="123"/>
      <c r="I396" s="123"/>
      <c r="J396" s="174"/>
      <c r="K396" s="182"/>
      <c r="L396" s="123"/>
      <c r="M396" s="123"/>
      <c r="N396" s="123"/>
      <c r="O396" s="123"/>
      <c r="P396" s="123"/>
      <c r="Q396" s="123"/>
      <c r="R396" s="123"/>
      <c r="S396" s="123"/>
      <c r="T396" s="123"/>
      <c r="U396" s="123"/>
      <c r="V396" s="123"/>
      <c r="W396" s="123"/>
      <c r="X396" s="123"/>
      <c r="Y396" s="123"/>
    </row>
    <row r="397" spans="1:25" ht="15.75" customHeight="1" x14ac:dyDescent="0.2">
      <c r="A397" s="182"/>
      <c r="B397" s="175"/>
      <c r="C397" s="176"/>
      <c r="D397" s="176"/>
      <c r="E397" s="176"/>
      <c r="F397" s="123"/>
      <c r="G397" s="123"/>
      <c r="H397" s="123"/>
      <c r="I397" s="123"/>
      <c r="J397" s="174"/>
      <c r="K397" s="182"/>
      <c r="L397" s="123"/>
      <c r="M397" s="123"/>
      <c r="N397" s="123"/>
      <c r="O397" s="123"/>
      <c r="P397" s="123"/>
      <c r="Q397" s="123"/>
      <c r="R397" s="123"/>
      <c r="S397" s="123"/>
      <c r="T397" s="123"/>
      <c r="U397" s="123"/>
      <c r="V397" s="123"/>
      <c r="W397" s="123"/>
      <c r="X397" s="123"/>
      <c r="Y397" s="123"/>
    </row>
    <row r="398" spans="1:25" ht="15.75" customHeight="1" x14ac:dyDescent="0.2">
      <c r="A398" s="182"/>
      <c r="B398" s="175"/>
      <c r="C398" s="176"/>
      <c r="D398" s="176"/>
      <c r="E398" s="176"/>
      <c r="F398" s="123"/>
      <c r="G398" s="123"/>
      <c r="H398" s="123"/>
      <c r="I398" s="123"/>
      <c r="J398" s="174"/>
      <c r="K398" s="182"/>
      <c r="L398" s="123"/>
      <c r="M398" s="123"/>
      <c r="N398" s="123"/>
      <c r="O398" s="123"/>
      <c r="P398" s="123"/>
      <c r="Q398" s="123"/>
      <c r="R398" s="123"/>
      <c r="S398" s="123"/>
      <c r="T398" s="123"/>
      <c r="U398" s="123"/>
      <c r="V398" s="123"/>
      <c r="W398" s="123"/>
      <c r="X398" s="123"/>
      <c r="Y398" s="123"/>
    </row>
    <row r="399" spans="1:25" ht="15.75" customHeight="1" x14ac:dyDescent="0.2">
      <c r="A399" s="182"/>
      <c r="B399" s="175"/>
      <c r="C399" s="176"/>
      <c r="D399" s="176"/>
      <c r="E399" s="176"/>
      <c r="F399" s="123"/>
      <c r="G399" s="123"/>
      <c r="H399" s="123"/>
      <c r="I399" s="123"/>
      <c r="J399" s="174"/>
      <c r="K399" s="182"/>
      <c r="L399" s="123"/>
      <c r="M399" s="123"/>
      <c r="N399" s="123"/>
      <c r="O399" s="123"/>
      <c r="P399" s="123"/>
      <c r="Q399" s="123"/>
      <c r="R399" s="123"/>
      <c r="S399" s="123"/>
      <c r="T399" s="123"/>
      <c r="U399" s="123"/>
      <c r="V399" s="123"/>
      <c r="W399" s="123"/>
      <c r="X399" s="123"/>
      <c r="Y399" s="123"/>
    </row>
    <row r="400" spans="1:25" ht="15.75" customHeight="1" x14ac:dyDescent="0.2">
      <c r="A400" s="182"/>
      <c r="B400" s="175"/>
      <c r="C400" s="176"/>
      <c r="D400" s="176"/>
      <c r="E400" s="176"/>
      <c r="F400" s="123"/>
      <c r="G400" s="123"/>
      <c r="H400" s="123"/>
      <c r="I400" s="123"/>
      <c r="J400" s="174"/>
      <c r="K400" s="182"/>
      <c r="L400" s="123"/>
      <c r="M400" s="123"/>
      <c r="N400" s="123"/>
      <c r="O400" s="123"/>
      <c r="P400" s="123"/>
      <c r="Q400" s="123"/>
      <c r="R400" s="123"/>
      <c r="S400" s="123"/>
      <c r="T400" s="123"/>
      <c r="U400" s="123"/>
      <c r="V400" s="123"/>
      <c r="W400" s="123"/>
      <c r="X400" s="123"/>
      <c r="Y400" s="123"/>
    </row>
    <row r="401" spans="1:25" ht="15.75" customHeight="1" x14ac:dyDescent="0.2">
      <c r="A401" s="182"/>
      <c r="B401" s="175"/>
      <c r="C401" s="176"/>
      <c r="D401" s="176"/>
      <c r="E401" s="176"/>
      <c r="F401" s="123"/>
      <c r="G401" s="123"/>
      <c r="H401" s="123"/>
      <c r="I401" s="123"/>
      <c r="J401" s="174"/>
      <c r="K401" s="182"/>
      <c r="L401" s="123"/>
      <c r="M401" s="123"/>
      <c r="N401" s="123"/>
      <c r="O401" s="123"/>
      <c r="P401" s="123"/>
      <c r="Q401" s="123"/>
      <c r="R401" s="123"/>
      <c r="S401" s="123"/>
      <c r="T401" s="123"/>
      <c r="U401" s="123"/>
      <c r="V401" s="123"/>
      <c r="W401" s="123"/>
      <c r="X401" s="123"/>
      <c r="Y401" s="123"/>
    </row>
    <row r="402" spans="1:25" ht="15.75" customHeight="1" x14ac:dyDescent="0.2">
      <c r="A402" s="182"/>
      <c r="B402" s="175"/>
      <c r="C402" s="176"/>
      <c r="D402" s="176"/>
      <c r="E402" s="176"/>
      <c r="F402" s="123"/>
      <c r="G402" s="123"/>
      <c r="H402" s="123"/>
      <c r="I402" s="123"/>
      <c r="J402" s="174"/>
      <c r="K402" s="182"/>
      <c r="L402" s="123"/>
      <c r="M402" s="123"/>
      <c r="N402" s="123"/>
      <c r="O402" s="123"/>
      <c r="P402" s="123"/>
      <c r="Q402" s="123"/>
      <c r="R402" s="123"/>
      <c r="S402" s="123"/>
      <c r="T402" s="123"/>
      <c r="U402" s="123"/>
      <c r="V402" s="123"/>
      <c r="W402" s="123"/>
      <c r="X402" s="123"/>
      <c r="Y402" s="123"/>
    </row>
    <row r="403" spans="1:25" ht="15.75" customHeight="1" x14ac:dyDescent="0.2">
      <c r="A403" s="182"/>
      <c r="B403" s="175"/>
      <c r="C403" s="176"/>
      <c r="D403" s="176"/>
      <c r="E403" s="176"/>
      <c r="F403" s="123"/>
      <c r="G403" s="123"/>
      <c r="H403" s="123"/>
      <c r="I403" s="123"/>
      <c r="J403" s="174"/>
      <c r="K403" s="182"/>
      <c r="L403" s="123"/>
      <c r="M403" s="123"/>
      <c r="N403" s="123"/>
      <c r="O403" s="123"/>
      <c r="P403" s="123"/>
      <c r="Q403" s="123"/>
      <c r="R403" s="123"/>
      <c r="S403" s="123"/>
      <c r="T403" s="123"/>
      <c r="U403" s="123"/>
      <c r="V403" s="123"/>
      <c r="W403" s="123"/>
      <c r="X403" s="123"/>
      <c r="Y403" s="123"/>
    </row>
    <row r="404" spans="1:25" ht="15.75" customHeight="1" x14ac:dyDescent="0.2">
      <c r="A404" s="182"/>
      <c r="B404" s="175"/>
      <c r="C404" s="176"/>
      <c r="D404" s="176"/>
      <c r="E404" s="176"/>
      <c r="F404" s="123"/>
      <c r="G404" s="123"/>
      <c r="H404" s="123"/>
      <c r="I404" s="123"/>
      <c r="J404" s="174"/>
      <c r="K404" s="182"/>
      <c r="L404" s="123"/>
      <c r="M404" s="123"/>
      <c r="N404" s="123"/>
      <c r="O404" s="123"/>
      <c r="P404" s="123"/>
      <c r="Q404" s="123"/>
      <c r="R404" s="123"/>
      <c r="S404" s="123"/>
      <c r="T404" s="123"/>
      <c r="U404" s="123"/>
      <c r="V404" s="123"/>
      <c r="W404" s="123"/>
      <c r="X404" s="123"/>
      <c r="Y404" s="123"/>
    </row>
    <row r="405" spans="1:25" ht="15.75" customHeight="1" x14ac:dyDescent="0.2">
      <c r="A405" s="182"/>
      <c r="B405" s="175"/>
      <c r="C405" s="176"/>
      <c r="D405" s="176"/>
      <c r="E405" s="176"/>
      <c r="F405" s="123"/>
      <c r="G405" s="123"/>
      <c r="H405" s="123"/>
      <c r="I405" s="123"/>
      <c r="J405" s="174"/>
      <c r="K405" s="182"/>
      <c r="L405" s="123"/>
      <c r="M405" s="123"/>
      <c r="N405" s="123"/>
      <c r="O405" s="123"/>
      <c r="P405" s="123"/>
      <c r="Q405" s="123"/>
      <c r="R405" s="123"/>
      <c r="S405" s="123"/>
      <c r="T405" s="123"/>
      <c r="U405" s="123"/>
      <c r="V405" s="123"/>
      <c r="W405" s="123"/>
      <c r="X405" s="123"/>
      <c r="Y405" s="123"/>
    </row>
    <row r="406" spans="1:25" ht="15.75" customHeight="1" x14ac:dyDescent="0.2">
      <c r="A406" s="182"/>
      <c r="B406" s="175"/>
      <c r="C406" s="176"/>
      <c r="D406" s="176"/>
      <c r="E406" s="176"/>
      <c r="F406" s="123"/>
      <c r="G406" s="123"/>
      <c r="H406" s="123"/>
      <c r="I406" s="123"/>
      <c r="J406" s="174"/>
      <c r="K406" s="182"/>
      <c r="L406" s="123"/>
      <c r="M406" s="123"/>
      <c r="N406" s="123"/>
      <c r="O406" s="123"/>
      <c r="P406" s="123"/>
      <c r="Q406" s="123"/>
      <c r="R406" s="123"/>
      <c r="S406" s="123"/>
      <c r="T406" s="123"/>
      <c r="U406" s="123"/>
      <c r="V406" s="123"/>
      <c r="W406" s="123"/>
      <c r="X406" s="123"/>
      <c r="Y406" s="123"/>
    </row>
    <row r="407" spans="1:25" ht="15.75" customHeight="1" x14ac:dyDescent="0.2">
      <c r="A407" s="182"/>
      <c r="B407" s="175"/>
      <c r="C407" s="176"/>
      <c r="D407" s="176"/>
      <c r="E407" s="176"/>
      <c r="F407" s="123"/>
      <c r="G407" s="123"/>
      <c r="H407" s="123"/>
      <c r="I407" s="123"/>
      <c r="J407" s="174"/>
      <c r="K407" s="182"/>
      <c r="L407" s="123"/>
      <c r="M407" s="123"/>
      <c r="N407" s="123"/>
      <c r="O407" s="123"/>
      <c r="P407" s="123"/>
      <c r="Q407" s="123"/>
      <c r="R407" s="123"/>
      <c r="S407" s="123"/>
      <c r="T407" s="123"/>
      <c r="U407" s="123"/>
      <c r="V407" s="123"/>
      <c r="W407" s="123"/>
      <c r="X407" s="123"/>
      <c r="Y407" s="123"/>
    </row>
    <row r="408" spans="1:25" ht="15.75" customHeight="1" x14ac:dyDescent="0.2">
      <c r="A408" s="182"/>
      <c r="B408" s="175"/>
      <c r="C408" s="176"/>
      <c r="D408" s="176"/>
      <c r="E408" s="176"/>
      <c r="F408" s="123"/>
      <c r="G408" s="123"/>
      <c r="H408" s="123"/>
      <c r="I408" s="123"/>
      <c r="J408" s="174"/>
      <c r="K408" s="182"/>
      <c r="L408" s="123"/>
      <c r="M408" s="123"/>
      <c r="N408" s="123"/>
      <c r="O408" s="123"/>
      <c r="P408" s="123"/>
      <c r="Q408" s="123"/>
      <c r="R408" s="123"/>
      <c r="S408" s="123"/>
      <c r="T408" s="123"/>
      <c r="U408" s="123"/>
      <c r="V408" s="123"/>
      <c r="W408" s="123"/>
      <c r="X408" s="123"/>
      <c r="Y408" s="123"/>
    </row>
    <row r="409" spans="1:25" ht="15.75" customHeight="1" x14ac:dyDescent="0.2">
      <c r="A409" s="182"/>
      <c r="B409" s="175"/>
      <c r="C409" s="176"/>
      <c r="D409" s="176"/>
      <c r="E409" s="176"/>
      <c r="F409" s="123"/>
      <c r="G409" s="123"/>
      <c r="H409" s="123"/>
      <c r="I409" s="123"/>
      <c r="J409" s="174"/>
      <c r="K409" s="182"/>
      <c r="L409" s="123"/>
      <c r="M409" s="123"/>
      <c r="N409" s="123"/>
      <c r="O409" s="123"/>
      <c r="P409" s="123"/>
      <c r="Q409" s="123"/>
      <c r="R409" s="123"/>
      <c r="S409" s="123"/>
      <c r="T409" s="123"/>
      <c r="U409" s="123"/>
      <c r="V409" s="123"/>
      <c r="W409" s="123"/>
      <c r="X409" s="123"/>
      <c r="Y409" s="123"/>
    </row>
    <row r="410" spans="1:25" ht="15.75" customHeight="1" x14ac:dyDescent="0.2">
      <c r="A410" s="182"/>
      <c r="B410" s="175"/>
      <c r="C410" s="176"/>
      <c r="D410" s="176"/>
      <c r="E410" s="176"/>
      <c r="F410" s="123"/>
      <c r="G410" s="123"/>
      <c r="H410" s="123"/>
      <c r="I410" s="123"/>
      <c r="J410" s="174"/>
      <c r="K410" s="182"/>
      <c r="L410" s="123"/>
      <c r="M410" s="123"/>
      <c r="N410" s="123"/>
      <c r="O410" s="123"/>
      <c r="P410" s="123"/>
      <c r="Q410" s="123"/>
      <c r="R410" s="123"/>
      <c r="S410" s="123"/>
      <c r="T410" s="123"/>
      <c r="U410" s="123"/>
      <c r="V410" s="123"/>
      <c r="W410" s="123"/>
      <c r="X410" s="123"/>
      <c r="Y410" s="123"/>
    </row>
    <row r="411" spans="1:25" ht="15.75" customHeight="1" x14ac:dyDescent="0.2">
      <c r="A411" s="182"/>
      <c r="B411" s="175"/>
      <c r="C411" s="176"/>
      <c r="D411" s="176"/>
      <c r="E411" s="176"/>
      <c r="F411" s="123"/>
      <c r="G411" s="123"/>
      <c r="H411" s="123"/>
      <c r="I411" s="123"/>
      <c r="J411" s="174"/>
      <c r="K411" s="182"/>
      <c r="L411" s="123"/>
      <c r="M411" s="123"/>
      <c r="N411" s="123"/>
      <c r="O411" s="123"/>
      <c r="P411" s="123"/>
      <c r="Q411" s="123"/>
      <c r="R411" s="123"/>
      <c r="S411" s="123"/>
      <c r="T411" s="123"/>
      <c r="U411" s="123"/>
      <c r="V411" s="123"/>
      <c r="W411" s="123"/>
      <c r="X411" s="123"/>
      <c r="Y411" s="123"/>
    </row>
    <row r="412" spans="1:25" ht="15.75" customHeight="1" x14ac:dyDescent="0.2">
      <c r="A412" s="182"/>
      <c r="B412" s="175"/>
      <c r="C412" s="176"/>
      <c r="D412" s="176"/>
      <c r="E412" s="176"/>
      <c r="F412" s="123"/>
      <c r="G412" s="123"/>
      <c r="H412" s="123"/>
      <c r="I412" s="123"/>
      <c r="J412" s="174"/>
      <c r="K412" s="182"/>
      <c r="L412" s="123"/>
      <c r="M412" s="123"/>
      <c r="N412" s="123"/>
      <c r="O412" s="123"/>
      <c r="P412" s="123"/>
      <c r="Q412" s="123"/>
      <c r="R412" s="123"/>
      <c r="S412" s="123"/>
      <c r="T412" s="123"/>
      <c r="U412" s="123"/>
      <c r="V412" s="123"/>
      <c r="W412" s="123"/>
      <c r="X412" s="123"/>
      <c r="Y412" s="123"/>
    </row>
    <row r="413" spans="1:25" ht="15.75" customHeight="1" x14ac:dyDescent="0.2">
      <c r="A413" s="182"/>
      <c r="B413" s="175"/>
      <c r="C413" s="176"/>
      <c r="D413" s="176"/>
      <c r="E413" s="176"/>
      <c r="F413" s="123"/>
      <c r="G413" s="123"/>
      <c r="H413" s="123"/>
      <c r="I413" s="123"/>
      <c r="J413" s="174"/>
      <c r="K413" s="182"/>
      <c r="L413" s="123"/>
      <c r="M413" s="123"/>
      <c r="N413" s="123"/>
      <c r="O413" s="123"/>
      <c r="P413" s="123"/>
      <c r="Q413" s="123"/>
      <c r="R413" s="123"/>
      <c r="S413" s="123"/>
      <c r="T413" s="123"/>
      <c r="U413" s="123"/>
      <c r="V413" s="123"/>
      <c r="W413" s="123"/>
      <c r="X413" s="123"/>
      <c r="Y413" s="123"/>
    </row>
    <row r="414" spans="1:25" ht="15.75" customHeight="1" x14ac:dyDescent="0.2">
      <c r="A414" s="182"/>
      <c r="B414" s="175"/>
      <c r="C414" s="176"/>
      <c r="D414" s="176"/>
      <c r="E414" s="176"/>
      <c r="F414" s="123"/>
      <c r="G414" s="123"/>
      <c r="H414" s="123"/>
      <c r="I414" s="123"/>
      <c r="J414" s="174"/>
      <c r="K414" s="182"/>
      <c r="L414" s="123"/>
      <c r="M414" s="123"/>
      <c r="N414" s="123"/>
      <c r="O414" s="123"/>
      <c r="P414" s="123"/>
      <c r="Q414" s="123"/>
      <c r="R414" s="123"/>
      <c r="S414" s="123"/>
      <c r="T414" s="123"/>
      <c r="U414" s="123"/>
      <c r="V414" s="123"/>
      <c r="W414" s="123"/>
      <c r="X414" s="123"/>
      <c r="Y414" s="123"/>
    </row>
    <row r="415" spans="1:25" ht="15.75" customHeight="1" x14ac:dyDescent="0.2">
      <c r="A415" s="182"/>
      <c r="B415" s="175"/>
      <c r="C415" s="176"/>
      <c r="D415" s="176"/>
      <c r="E415" s="176"/>
      <c r="F415" s="123"/>
      <c r="G415" s="123"/>
      <c r="H415" s="123"/>
      <c r="I415" s="123"/>
      <c r="J415" s="174"/>
      <c r="K415" s="182"/>
      <c r="L415" s="123"/>
      <c r="M415" s="123"/>
      <c r="N415" s="123"/>
      <c r="O415" s="123"/>
      <c r="P415" s="123"/>
      <c r="Q415" s="123"/>
      <c r="R415" s="123"/>
      <c r="S415" s="123"/>
      <c r="T415" s="123"/>
      <c r="U415" s="123"/>
      <c r="V415" s="123"/>
      <c r="W415" s="123"/>
      <c r="X415" s="123"/>
      <c r="Y415" s="123"/>
    </row>
    <row r="416" spans="1:25" ht="15.75" customHeight="1" x14ac:dyDescent="0.2">
      <c r="A416" s="182"/>
      <c r="B416" s="175"/>
      <c r="C416" s="176"/>
      <c r="D416" s="176"/>
      <c r="E416" s="176"/>
      <c r="F416" s="123"/>
      <c r="G416" s="123"/>
      <c r="H416" s="123"/>
      <c r="I416" s="123"/>
      <c r="J416" s="174"/>
      <c r="K416" s="182"/>
      <c r="L416" s="123"/>
      <c r="M416" s="123"/>
      <c r="N416" s="123"/>
      <c r="O416" s="123"/>
      <c r="P416" s="123"/>
      <c r="Q416" s="123"/>
      <c r="R416" s="123"/>
      <c r="S416" s="123"/>
      <c r="T416" s="123"/>
      <c r="U416" s="123"/>
      <c r="V416" s="123"/>
      <c r="W416" s="123"/>
      <c r="X416" s="123"/>
      <c r="Y416" s="123"/>
    </row>
    <row r="417" spans="1:25" ht="15.75" customHeight="1" x14ac:dyDescent="0.2">
      <c r="A417" s="182"/>
      <c r="B417" s="175"/>
      <c r="C417" s="176"/>
      <c r="D417" s="176"/>
      <c r="E417" s="176"/>
      <c r="F417" s="123"/>
      <c r="G417" s="123"/>
      <c r="H417" s="123"/>
      <c r="I417" s="123"/>
      <c r="J417" s="174"/>
      <c r="K417" s="182"/>
      <c r="L417" s="123"/>
      <c r="M417" s="123"/>
      <c r="N417" s="123"/>
      <c r="O417" s="123"/>
      <c r="P417" s="123"/>
      <c r="Q417" s="123"/>
      <c r="R417" s="123"/>
      <c r="S417" s="123"/>
      <c r="T417" s="123"/>
      <c r="U417" s="123"/>
      <c r="V417" s="123"/>
      <c r="W417" s="123"/>
      <c r="X417" s="123"/>
      <c r="Y417" s="123"/>
    </row>
    <row r="418" spans="1:25" ht="15.75" customHeight="1" x14ac:dyDescent="0.2">
      <c r="A418" s="182"/>
      <c r="B418" s="175"/>
      <c r="C418" s="176"/>
      <c r="D418" s="176"/>
      <c r="E418" s="176"/>
      <c r="F418" s="123"/>
      <c r="G418" s="123"/>
      <c r="H418" s="123"/>
      <c r="I418" s="123"/>
      <c r="J418" s="174"/>
      <c r="K418" s="182"/>
      <c r="L418" s="123"/>
      <c r="M418" s="123"/>
      <c r="N418" s="123"/>
      <c r="O418" s="123"/>
      <c r="P418" s="123"/>
      <c r="Q418" s="123"/>
      <c r="R418" s="123"/>
      <c r="S418" s="123"/>
      <c r="T418" s="123"/>
      <c r="U418" s="123"/>
      <c r="V418" s="123"/>
      <c r="W418" s="123"/>
      <c r="X418" s="123"/>
      <c r="Y418" s="123"/>
    </row>
    <row r="419" spans="1:25" ht="15.75" customHeight="1" x14ac:dyDescent="0.2">
      <c r="A419" s="182"/>
      <c r="B419" s="175"/>
      <c r="C419" s="176"/>
      <c r="D419" s="176"/>
      <c r="E419" s="176"/>
      <c r="F419" s="123"/>
      <c r="G419" s="123"/>
      <c r="H419" s="123"/>
      <c r="I419" s="123"/>
      <c r="J419" s="174"/>
      <c r="K419" s="182"/>
      <c r="L419" s="123"/>
      <c r="M419" s="123"/>
      <c r="N419" s="123"/>
      <c r="O419" s="123"/>
      <c r="P419" s="123"/>
      <c r="Q419" s="123"/>
      <c r="R419" s="123"/>
      <c r="S419" s="123"/>
      <c r="T419" s="123"/>
      <c r="U419" s="123"/>
      <c r="V419" s="123"/>
      <c r="W419" s="123"/>
      <c r="X419" s="123"/>
      <c r="Y419" s="123"/>
    </row>
    <row r="420" spans="1:25" ht="15.75" customHeight="1" x14ac:dyDescent="0.2">
      <c r="A420" s="182"/>
      <c r="B420" s="175"/>
      <c r="C420" s="176"/>
      <c r="D420" s="176"/>
      <c r="E420" s="176"/>
      <c r="F420" s="123"/>
      <c r="G420" s="123"/>
      <c r="H420" s="123"/>
      <c r="I420" s="123"/>
      <c r="J420" s="174"/>
      <c r="K420" s="182"/>
      <c r="L420" s="123"/>
      <c r="M420" s="123"/>
      <c r="N420" s="123"/>
      <c r="O420" s="123"/>
      <c r="P420" s="123"/>
      <c r="Q420" s="123"/>
      <c r="R420" s="123"/>
      <c r="S420" s="123"/>
      <c r="T420" s="123"/>
      <c r="U420" s="123"/>
      <c r="V420" s="123"/>
      <c r="W420" s="123"/>
      <c r="X420" s="123"/>
      <c r="Y420" s="123"/>
    </row>
    <row r="421" spans="1:25" ht="15.75" customHeight="1" x14ac:dyDescent="0.2">
      <c r="A421" s="182"/>
      <c r="B421" s="175"/>
      <c r="C421" s="176"/>
      <c r="D421" s="176"/>
      <c r="E421" s="176"/>
      <c r="F421" s="123"/>
      <c r="G421" s="123"/>
      <c r="H421" s="123"/>
      <c r="I421" s="123"/>
      <c r="J421" s="174"/>
      <c r="K421" s="182"/>
      <c r="L421" s="123"/>
      <c r="M421" s="123"/>
      <c r="N421" s="123"/>
      <c r="O421" s="123"/>
      <c r="P421" s="123"/>
      <c r="Q421" s="123"/>
      <c r="R421" s="123"/>
      <c r="S421" s="123"/>
      <c r="T421" s="123"/>
      <c r="U421" s="123"/>
      <c r="V421" s="123"/>
      <c r="W421" s="123"/>
      <c r="X421" s="123"/>
      <c r="Y421" s="123"/>
    </row>
    <row r="422" spans="1:25" ht="15.75" customHeight="1" x14ac:dyDescent="0.2">
      <c r="A422" s="182"/>
      <c r="B422" s="175"/>
      <c r="C422" s="176"/>
      <c r="D422" s="176"/>
      <c r="E422" s="176"/>
      <c r="F422" s="123"/>
      <c r="G422" s="123"/>
      <c r="H422" s="123"/>
      <c r="I422" s="123"/>
      <c r="J422" s="174"/>
      <c r="K422" s="182"/>
      <c r="L422" s="123"/>
      <c r="M422" s="123"/>
      <c r="N422" s="123"/>
      <c r="O422" s="123"/>
      <c r="P422" s="123"/>
      <c r="Q422" s="123"/>
      <c r="R422" s="123"/>
      <c r="S422" s="123"/>
      <c r="T422" s="123"/>
      <c r="U422" s="123"/>
      <c r="V422" s="123"/>
      <c r="W422" s="123"/>
      <c r="X422" s="123"/>
      <c r="Y422" s="123"/>
    </row>
    <row r="423" spans="1:25" ht="15.75" customHeight="1" x14ac:dyDescent="0.2">
      <c r="A423" s="182"/>
      <c r="B423" s="175"/>
      <c r="C423" s="176"/>
      <c r="D423" s="176"/>
      <c r="E423" s="176"/>
      <c r="F423" s="123"/>
      <c r="G423" s="123"/>
      <c r="H423" s="123"/>
      <c r="I423" s="123"/>
      <c r="J423" s="174"/>
      <c r="K423" s="182"/>
      <c r="L423" s="123"/>
      <c r="M423" s="123"/>
      <c r="N423" s="123"/>
      <c r="O423" s="123"/>
      <c r="P423" s="123"/>
      <c r="Q423" s="123"/>
      <c r="R423" s="123"/>
      <c r="S423" s="123"/>
      <c r="T423" s="123"/>
      <c r="U423" s="123"/>
      <c r="V423" s="123"/>
      <c r="W423" s="123"/>
      <c r="X423" s="123"/>
      <c r="Y423" s="123"/>
    </row>
    <row r="424" spans="1:25" ht="15.75" customHeight="1" x14ac:dyDescent="0.2">
      <c r="A424" s="182"/>
      <c r="B424" s="175"/>
      <c r="C424" s="176"/>
      <c r="D424" s="176"/>
      <c r="E424" s="176"/>
      <c r="F424" s="123"/>
      <c r="G424" s="123"/>
      <c r="H424" s="123"/>
      <c r="I424" s="123"/>
      <c r="J424" s="174"/>
      <c r="K424" s="182"/>
      <c r="L424" s="123"/>
      <c r="M424" s="123"/>
      <c r="N424" s="123"/>
      <c r="O424" s="123"/>
      <c r="P424" s="123"/>
      <c r="Q424" s="123"/>
      <c r="R424" s="123"/>
      <c r="S424" s="123"/>
      <c r="T424" s="123"/>
      <c r="U424" s="123"/>
      <c r="V424" s="123"/>
      <c r="W424" s="123"/>
      <c r="X424" s="123"/>
      <c r="Y424" s="123"/>
    </row>
    <row r="425" spans="1:25" ht="15.75" customHeight="1" x14ac:dyDescent="0.2">
      <c r="A425" s="182"/>
      <c r="B425" s="175"/>
      <c r="C425" s="176"/>
      <c r="D425" s="176"/>
      <c r="E425" s="176"/>
      <c r="F425" s="123"/>
      <c r="G425" s="123"/>
      <c r="H425" s="123"/>
      <c r="I425" s="123"/>
      <c r="J425" s="174"/>
      <c r="K425" s="182"/>
      <c r="L425" s="123"/>
      <c r="M425" s="123"/>
      <c r="N425" s="123"/>
      <c r="O425" s="123"/>
      <c r="P425" s="123"/>
      <c r="Q425" s="123"/>
      <c r="R425" s="123"/>
      <c r="S425" s="123"/>
      <c r="T425" s="123"/>
      <c r="U425" s="123"/>
      <c r="V425" s="123"/>
      <c r="W425" s="123"/>
      <c r="X425" s="123"/>
      <c r="Y425" s="123"/>
    </row>
    <row r="426" spans="1:25" ht="15.75" customHeight="1" x14ac:dyDescent="0.2">
      <c r="A426" s="182"/>
      <c r="B426" s="175"/>
      <c r="C426" s="176"/>
      <c r="D426" s="176"/>
      <c r="E426" s="176"/>
      <c r="F426" s="123"/>
      <c r="G426" s="123"/>
      <c r="H426" s="123"/>
      <c r="I426" s="123"/>
      <c r="J426" s="174"/>
      <c r="K426" s="182"/>
      <c r="L426" s="123"/>
      <c r="M426" s="123"/>
      <c r="N426" s="123"/>
      <c r="O426" s="123"/>
      <c r="P426" s="123"/>
      <c r="Q426" s="123"/>
      <c r="R426" s="123"/>
      <c r="S426" s="123"/>
      <c r="T426" s="123"/>
      <c r="U426" s="123"/>
      <c r="V426" s="123"/>
      <c r="W426" s="123"/>
      <c r="X426" s="123"/>
      <c r="Y426" s="123"/>
    </row>
    <row r="427" spans="1:25" ht="15.75" customHeight="1" x14ac:dyDescent="0.2">
      <c r="A427" s="182"/>
      <c r="B427" s="175"/>
      <c r="C427" s="176"/>
      <c r="D427" s="176"/>
      <c r="E427" s="176"/>
      <c r="F427" s="123"/>
      <c r="G427" s="123"/>
      <c r="H427" s="123"/>
      <c r="I427" s="123"/>
      <c r="J427" s="174"/>
      <c r="K427" s="182"/>
      <c r="L427" s="123"/>
      <c r="M427" s="123"/>
      <c r="N427" s="123"/>
      <c r="O427" s="123"/>
      <c r="P427" s="123"/>
      <c r="Q427" s="123"/>
      <c r="R427" s="123"/>
      <c r="S427" s="123"/>
      <c r="T427" s="123"/>
      <c r="U427" s="123"/>
      <c r="V427" s="123"/>
      <c r="W427" s="123"/>
      <c r="X427" s="123"/>
      <c r="Y427" s="123"/>
    </row>
    <row r="428" spans="1:25" ht="15.75" customHeight="1" x14ac:dyDescent="0.2">
      <c r="A428" s="182"/>
      <c r="B428" s="175"/>
      <c r="C428" s="176"/>
      <c r="D428" s="176"/>
      <c r="E428" s="176"/>
      <c r="F428" s="123"/>
      <c r="G428" s="123"/>
      <c r="H428" s="123"/>
      <c r="I428" s="123"/>
      <c r="J428" s="174"/>
      <c r="K428" s="182"/>
      <c r="L428" s="123"/>
      <c r="M428" s="123"/>
      <c r="N428" s="123"/>
      <c r="O428" s="123"/>
      <c r="P428" s="123"/>
      <c r="Q428" s="123"/>
      <c r="R428" s="123"/>
      <c r="S428" s="123"/>
      <c r="T428" s="123"/>
      <c r="U428" s="123"/>
      <c r="V428" s="123"/>
      <c r="W428" s="123"/>
      <c r="X428" s="123"/>
      <c r="Y428" s="123"/>
    </row>
    <row r="429" spans="1:25" ht="15.75" customHeight="1" x14ac:dyDescent="0.2">
      <c r="A429" s="182"/>
      <c r="B429" s="175"/>
      <c r="C429" s="176"/>
      <c r="D429" s="176"/>
      <c r="E429" s="176"/>
      <c r="F429" s="123"/>
      <c r="G429" s="123"/>
      <c r="H429" s="123"/>
      <c r="I429" s="123"/>
      <c r="J429" s="174"/>
      <c r="K429" s="182"/>
      <c r="L429" s="123"/>
      <c r="M429" s="123"/>
      <c r="N429" s="123"/>
      <c r="O429" s="123"/>
      <c r="P429" s="123"/>
      <c r="Q429" s="123"/>
      <c r="R429" s="123"/>
      <c r="S429" s="123"/>
      <c r="T429" s="123"/>
      <c r="U429" s="123"/>
      <c r="V429" s="123"/>
      <c r="W429" s="123"/>
      <c r="X429" s="123"/>
      <c r="Y429" s="123"/>
    </row>
    <row r="430" spans="1:25" ht="15.75" customHeight="1" x14ac:dyDescent="0.2">
      <c r="A430" s="182"/>
      <c r="B430" s="175"/>
      <c r="C430" s="176"/>
      <c r="D430" s="176"/>
      <c r="E430" s="176"/>
      <c r="F430" s="123"/>
      <c r="G430" s="123"/>
      <c r="H430" s="123"/>
      <c r="I430" s="123"/>
      <c r="J430" s="174"/>
      <c r="K430" s="182"/>
      <c r="L430" s="123"/>
      <c r="M430" s="123"/>
      <c r="N430" s="123"/>
      <c r="O430" s="123"/>
      <c r="P430" s="123"/>
      <c r="Q430" s="123"/>
      <c r="R430" s="123"/>
      <c r="S430" s="123"/>
      <c r="T430" s="123"/>
      <c r="U430" s="123"/>
      <c r="V430" s="123"/>
      <c r="W430" s="123"/>
      <c r="X430" s="123"/>
      <c r="Y430" s="123"/>
    </row>
    <row r="431" spans="1:25" ht="15.75" customHeight="1" x14ac:dyDescent="0.2">
      <c r="A431" s="182"/>
      <c r="B431" s="175"/>
      <c r="C431" s="176"/>
      <c r="D431" s="176"/>
      <c r="E431" s="176"/>
      <c r="F431" s="123"/>
      <c r="G431" s="123"/>
      <c r="H431" s="123"/>
      <c r="I431" s="123"/>
      <c r="J431" s="174"/>
      <c r="K431" s="182"/>
      <c r="L431" s="123"/>
      <c r="M431" s="123"/>
      <c r="N431" s="123"/>
      <c r="O431" s="123"/>
      <c r="P431" s="123"/>
      <c r="Q431" s="123"/>
      <c r="R431" s="123"/>
      <c r="S431" s="123"/>
      <c r="T431" s="123"/>
      <c r="U431" s="123"/>
      <c r="V431" s="123"/>
      <c r="W431" s="123"/>
      <c r="X431" s="123"/>
      <c r="Y431" s="123"/>
    </row>
    <row r="432" spans="1:25" ht="15.75" customHeight="1" x14ac:dyDescent="0.2">
      <c r="A432" s="182"/>
      <c r="B432" s="175"/>
      <c r="C432" s="176"/>
      <c r="D432" s="176"/>
      <c r="E432" s="176"/>
      <c r="F432" s="123"/>
      <c r="G432" s="123"/>
      <c r="H432" s="123"/>
      <c r="I432" s="123"/>
      <c r="J432" s="174"/>
      <c r="K432" s="182"/>
      <c r="L432" s="123"/>
      <c r="M432" s="123"/>
      <c r="N432" s="123"/>
      <c r="O432" s="123"/>
      <c r="P432" s="123"/>
      <c r="Q432" s="123"/>
      <c r="R432" s="123"/>
      <c r="S432" s="123"/>
      <c r="T432" s="123"/>
      <c r="U432" s="123"/>
      <c r="V432" s="123"/>
      <c r="W432" s="123"/>
      <c r="X432" s="123"/>
      <c r="Y432" s="123"/>
    </row>
    <row r="433" spans="1:25" ht="15.75" customHeight="1" x14ac:dyDescent="0.2">
      <c r="A433" s="182"/>
      <c r="B433" s="175"/>
      <c r="C433" s="176"/>
      <c r="D433" s="176"/>
      <c r="E433" s="176"/>
      <c r="F433" s="123"/>
      <c r="G433" s="123"/>
      <c r="H433" s="123"/>
      <c r="I433" s="123"/>
      <c r="J433" s="174"/>
      <c r="K433" s="182"/>
      <c r="L433" s="123"/>
      <c r="M433" s="123"/>
      <c r="N433" s="123"/>
      <c r="O433" s="123"/>
      <c r="P433" s="123"/>
      <c r="Q433" s="123"/>
      <c r="R433" s="123"/>
      <c r="S433" s="123"/>
      <c r="T433" s="123"/>
      <c r="U433" s="123"/>
      <c r="V433" s="123"/>
      <c r="W433" s="123"/>
      <c r="X433" s="123"/>
      <c r="Y433" s="123"/>
    </row>
    <row r="434" spans="1:25" ht="15.75" customHeight="1" x14ac:dyDescent="0.2">
      <c r="A434" s="182"/>
      <c r="B434" s="175"/>
      <c r="C434" s="176"/>
      <c r="D434" s="176"/>
      <c r="E434" s="176"/>
      <c r="F434" s="123"/>
      <c r="G434" s="123"/>
      <c r="H434" s="123"/>
      <c r="I434" s="123"/>
      <c r="J434" s="174"/>
      <c r="K434" s="182"/>
      <c r="L434" s="123"/>
      <c r="M434" s="123"/>
      <c r="N434" s="123"/>
      <c r="O434" s="123"/>
      <c r="P434" s="123"/>
      <c r="Q434" s="123"/>
      <c r="R434" s="123"/>
      <c r="S434" s="123"/>
      <c r="T434" s="123"/>
      <c r="U434" s="123"/>
      <c r="V434" s="123"/>
      <c r="W434" s="123"/>
      <c r="X434" s="123"/>
      <c r="Y434" s="123"/>
    </row>
    <row r="435" spans="1:25" ht="15.75" customHeight="1" x14ac:dyDescent="0.2">
      <c r="A435" s="182"/>
      <c r="B435" s="175"/>
      <c r="C435" s="176"/>
      <c r="D435" s="176"/>
      <c r="E435" s="176"/>
      <c r="F435" s="123"/>
      <c r="G435" s="123"/>
      <c r="H435" s="123"/>
      <c r="I435" s="123"/>
      <c r="J435" s="174"/>
      <c r="K435" s="182"/>
      <c r="L435" s="123"/>
      <c r="M435" s="123"/>
      <c r="N435" s="123"/>
      <c r="O435" s="123"/>
      <c r="P435" s="123"/>
      <c r="Q435" s="123"/>
      <c r="R435" s="123"/>
      <c r="S435" s="123"/>
      <c r="T435" s="123"/>
      <c r="U435" s="123"/>
      <c r="V435" s="123"/>
      <c r="W435" s="123"/>
      <c r="X435" s="123"/>
      <c r="Y435" s="123"/>
    </row>
    <row r="436" spans="1:25" ht="15.75" customHeight="1" x14ac:dyDescent="0.2">
      <c r="A436" s="182"/>
      <c r="B436" s="175"/>
      <c r="C436" s="176"/>
      <c r="D436" s="176"/>
      <c r="E436" s="176"/>
      <c r="F436" s="123"/>
      <c r="G436" s="123"/>
      <c r="H436" s="123"/>
      <c r="I436" s="123"/>
      <c r="J436" s="174"/>
      <c r="K436" s="182"/>
      <c r="L436" s="123"/>
      <c r="M436" s="123"/>
      <c r="N436" s="123"/>
      <c r="O436" s="123"/>
      <c r="P436" s="123"/>
      <c r="Q436" s="123"/>
      <c r="R436" s="123"/>
      <c r="S436" s="123"/>
      <c r="T436" s="123"/>
      <c r="U436" s="123"/>
      <c r="V436" s="123"/>
      <c r="W436" s="123"/>
      <c r="X436" s="123"/>
      <c r="Y436" s="123"/>
    </row>
    <row r="437" spans="1:25" ht="15.75" customHeight="1" x14ac:dyDescent="0.2">
      <c r="A437" s="182"/>
      <c r="B437" s="175"/>
      <c r="C437" s="176"/>
      <c r="D437" s="176"/>
      <c r="E437" s="176"/>
      <c r="F437" s="123"/>
      <c r="G437" s="123"/>
      <c r="H437" s="123"/>
      <c r="I437" s="123"/>
      <c r="J437" s="174"/>
      <c r="K437" s="182"/>
      <c r="L437" s="123"/>
      <c r="M437" s="123"/>
      <c r="N437" s="123"/>
      <c r="O437" s="123"/>
      <c r="P437" s="123"/>
      <c r="Q437" s="123"/>
      <c r="R437" s="123"/>
      <c r="S437" s="123"/>
      <c r="T437" s="123"/>
      <c r="U437" s="123"/>
      <c r="V437" s="123"/>
      <c r="W437" s="123"/>
      <c r="X437" s="123"/>
      <c r="Y437" s="123"/>
    </row>
    <row r="438" spans="1:25" ht="15.75" customHeight="1" x14ac:dyDescent="0.2">
      <c r="A438" s="182"/>
      <c r="B438" s="175"/>
      <c r="C438" s="176"/>
      <c r="D438" s="176"/>
      <c r="E438" s="176"/>
      <c r="F438" s="123"/>
      <c r="G438" s="123"/>
      <c r="H438" s="123"/>
      <c r="I438" s="123"/>
      <c r="J438" s="174"/>
      <c r="K438" s="182"/>
      <c r="L438" s="123"/>
      <c r="M438" s="123"/>
      <c r="N438" s="123"/>
      <c r="O438" s="123"/>
      <c r="P438" s="123"/>
      <c r="Q438" s="123"/>
      <c r="R438" s="123"/>
      <c r="S438" s="123"/>
      <c r="T438" s="123"/>
      <c r="U438" s="123"/>
      <c r="V438" s="123"/>
      <c r="W438" s="123"/>
      <c r="X438" s="123"/>
      <c r="Y438" s="123"/>
    </row>
    <row r="439" spans="1:25" ht="15.75" customHeight="1" x14ac:dyDescent="0.2">
      <c r="A439" s="182"/>
      <c r="B439" s="175"/>
      <c r="C439" s="176"/>
      <c r="D439" s="176"/>
      <c r="E439" s="176"/>
      <c r="F439" s="123"/>
      <c r="G439" s="123"/>
      <c r="H439" s="123"/>
      <c r="I439" s="123"/>
      <c r="J439" s="174"/>
      <c r="K439" s="182"/>
      <c r="L439" s="123"/>
      <c r="M439" s="123"/>
      <c r="N439" s="123"/>
      <c r="O439" s="123"/>
      <c r="P439" s="123"/>
      <c r="Q439" s="123"/>
      <c r="R439" s="123"/>
      <c r="S439" s="123"/>
      <c r="T439" s="123"/>
      <c r="U439" s="123"/>
      <c r="V439" s="123"/>
      <c r="W439" s="123"/>
      <c r="X439" s="123"/>
      <c r="Y439" s="123"/>
    </row>
    <row r="440" spans="1:25" ht="15.75" customHeight="1" x14ac:dyDescent="0.2">
      <c r="A440" s="182"/>
      <c r="B440" s="175"/>
      <c r="C440" s="176"/>
      <c r="D440" s="176"/>
      <c r="E440" s="176"/>
      <c r="F440" s="123"/>
      <c r="G440" s="123"/>
      <c r="H440" s="123"/>
      <c r="I440" s="123"/>
      <c r="J440" s="174"/>
      <c r="K440" s="182"/>
      <c r="L440" s="123"/>
      <c r="M440" s="123"/>
      <c r="N440" s="123"/>
      <c r="O440" s="123"/>
      <c r="P440" s="123"/>
      <c r="Q440" s="123"/>
      <c r="R440" s="123"/>
      <c r="S440" s="123"/>
      <c r="T440" s="123"/>
      <c r="U440" s="123"/>
      <c r="V440" s="123"/>
      <c r="W440" s="123"/>
      <c r="X440" s="123"/>
      <c r="Y440" s="123"/>
    </row>
    <row r="441" spans="1:25" ht="15.75" customHeight="1" x14ac:dyDescent="0.2">
      <c r="A441" s="182"/>
      <c r="B441" s="175"/>
      <c r="C441" s="176"/>
      <c r="D441" s="176"/>
      <c r="E441" s="176"/>
      <c r="F441" s="123"/>
      <c r="G441" s="123"/>
      <c r="H441" s="123"/>
      <c r="I441" s="123"/>
      <c r="J441" s="174"/>
      <c r="K441" s="182"/>
      <c r="L441" s="123"/>
      <c r="M441" s="123"/>
      <c r="N441" s="123"/>
      <c r="O441" s="123"/>
      <c r="P441" s="123"/>
      <c r="Q441" s="123"/>
      <c r="R441" s="123"/>
      <c r="S441" s="123"/>
      <c r="T441" s="123"/>
      <c r="U441" s="123"/>
      <c r="V441" s="123"/>
      <c r="W441" s="123"/>
      <c r="X441" s="123"/>
      <c r="Y441" s="123"/>
    </row>
    <row r="442" spans="1:25" ht="15.75" customHeight="1" x14ac:dyDescent="0.2">
      <c r="A442" s="182"/>
      <c r="B442" s="175"/>
      <c r="C442" s="176"/>
      <c r="D442" s="176"/>
      <c r="E442" s="176"/>
      <c r="F442" s="123"/>
      <c r="G442" s="123"/>
      <c r="H442" s="123"/>
      <c r="I442" s="123"/>
      <c r="J442" s="174"/>
      <c r="K442" s="182"/>
      <c r="L442" s="123"/>
      <c r="M442" s="123"/>
      <c r="N442" s="123"/>
      <c r="O442" s="123"/>
      <c r="P442" s="123"/>
      <c r="Q442" s="123"/>
      <c r="R442" s="123"/>
      <c r="S442" s="123"/>
      <c r="T442" s="123"/>
      <c r="U442" s="123"/>
      <c r="V442" s="123"/>
      <c r="W442" s="123"/>
      <c r="X442" s="123"/>
      <c r="Y442" s="123"/>
    </row>
    <row r="443" spans="1:25" ht="15.75" customHeight="1" x14ac:dyDescent="0.2">
      <c r="A443" s="182"/>
      <c r="B443" s="175"/>
      <c r="C443" s="176"/>
      <c r="D443" s="176"/>
      <c r="E443" s="176"/>
      <c r="F443" s="123"/>
      <c r="G443" s="123"/>
      <c r="H443" s="123"/>
      <c r="I443" s="123"/>
      <c r="J443" s="174"/>
      <c r="K443" s="182"/>
      <c r="L443" s="123"/>
      <c r="M443" s="123"/>
      <c r="N443" s="123"/>
      <c r="O443" s="123"/>
      <c r="P443" s="123"/>
      <c r="Q443" s="123"/>
      <c r="R443" s="123"/>
      <c r="S443" s="123"/>
      <c r="T443" s="123"/>
      <c r="U443" s="123"/>
      <c r="V443" s="123"/>
      <c r="W443" s="123"/>
      <c r="X443" s="123"/>
      <c r="Y443" s="123"/>
    </row>
    <row r="444" spans="1:25" ht="15.75" customHeight="1" x14ac:dyDescent="0.2">
      <c r="A444" s="182"/>
      <c r="B444" s="175"/>
      <c r="C444" s="176"/>
      <c r="D444" s="176"/>
      <c r="E444" s="176"/>
      <c r="F444" s="123"/>
      <c r="G444" s="123"/>
      <c r="H444" s="123"/>
      <c r="I444" s="123"/>
      <c r="J444" s="174"/>
      <c r="K444" s="182"/>
      <c r="L444" s="123"/>
      <c r="M444" s="123"/>
      <c r="N444" s="123"/>
      <c r="O444" s="123"/>
      <c r="P444" s="123"/>
      <c r="Q444" s="123"/>
      <c r="R444" s="123"/>
      <c r="S444" s="123"/>
      <c r="T444" s="123"/>
      <c r="U444" s="123"/>
      <c r="V444" s="123"/>
      <c r="W444" s="123"/>
      <c r="X444" s="123"/>
      <c r="Y444" s="123"/>
    </row>
    <row r="445" spans="1:25" ht="15.75" customHeight="1" x14ac:dyDescent="0.2">
      <c r="A445" s="182"/>
      <c r="B445" s="175"/>
      <c r="C445" s="176"/>
      <c r="D445" s="176"/>
      <c r="E445" s="176"/>
      <c r="F445" s="123"/>
      <c r="G445" s="123"/>
      <c r="H445" s="123"/>
      <c r="I445" s="123"/>
      <c r="J445" s="174"/>
      <c r="K445" s="182"/>
      <c r="L445" s="123"/>
      <c r="M445" s="123"/>
      <c r="N445" s="123"/>
      <c r="O445" s="123"/>
      <c r="P445" s="123"/>
      <c r="Q445" s="123"/>
      <c r="R445" s="123"/>
      <c r="S445" s="123"/>
      <c r="T445" s="123"/>
      <c r="U445" s="123"/>
      <c r="V445" s="123"/>
      <c r="W445" s="123"/>
      <c r="X445" s="123"/>
      <c r="Y445" s="123"/>
    </row>
    <row r="446" spans="1:25" ht="15.75" customHeight="1" x14ac:dyDescent="0.2">
      <c r="A446" s="182"/>
      <c r="B446" s="175"/>
      <c r="C446" s="176"/>
      <c r="D446" s="176"/>
      <c r="E446" s="176"/>
      <c r="F446" s="123"/>
      <c r="G446" s="123"/>
      <c r="H446" s="123"/>
      <c r="I446" s="123"/>
      <c r="J446" s="174"/>
      <c r="K446" s="182"/>
      <c r="L446" s="123"/>
      <c r="M446" s="123"/>
      <c r="N446" s="123"/>
      <c r="O446" s="123"/>
      <c r="P446" s="123"/>
      <c r="Q446" s="123"/>
      <c r="R446" s="123"/>
      <c r="S446" s="123"/>
      <c r="T446" s="123"/>
      <c r="U446" s="123"/>
      <c r="V446" s="123"/>
      <c r="W446" s="123"/>
      <c r="X446" s="123"/>
      <c r="Y446" s="123"/>
    </row>
    <row r="447" spans="1:25" ht="15.75" customHeight="1" x14ac:dyDescent="0.2">
      <c r="A447" s="182"/>
      <c r="B447" s="175"/>
      <c r="C447" s="176"/>
      <c r="D447" s="176"/>
      <c r="E447" s="176"/>
      <c r="F447" s="123"/>
      <c r="G447" s="123"/>
      <c r="H447" s="123"/>
      <c r="I447" s="123"/>
      <c r="J447" s="174"/>
      <c r="K447" s="182"/>
      <c r="L447" s="123"/>
      <c r="M447" s="123"/>
      <c r="N447" s="123"/>
      <c r="O447" s="123"/>
      <c r="P447" s="123"/>
      <c r="Q447" s="123"/>
      <c r="R447" s="123"/>
      <c r="S447" s="123"/>
      <c r="T447" s="123"/>
      <c r="U447" s="123"/>
      <c r="V447" s="123"/>
      <c r="W447" s="123"/>
      <c r="X447" s="123"/>
      <c r="Y447" s="123"/>
    </row>
    <row r="448" spans="1:25" ht="15.75" customHeight="1" x14ac:dyDescent="0.2">
      <c r="A448" s="182"/>
      <c r="B448" s="175"/>
      <c r="C448" s="176"/>
      <c r="D448" s="176"/>
      <c r="E448" s="176"/>
      <c r="F448" s="123"/>
      <c r="G448" s="123"/>
      <c r="H448" s="123"/>
      <c r="I448" s="123"/>
      <c r="J448" s="174"/>
      <c r="K448" s="182"/>
      <c r="L448" s="123"/>
      <c r="M448" s="123"/>
      <c r="N448" s="123"/>
      <c r="O448" s="123"/>
      <c r="P448" s="123"/>
      <c r="Q448" s="123"/>
      <c r="R448" s="123"/>
      <c r="S448" s="123"/>
      <c r="T448" s="123"/>
      <c r="U448" s="123"/>
      <c r="V448" s="123"/>
      <c r="W448" s="123"/>
      <c r="X448" s="123"/>
      <c r="Y448" s="123"/>
    </row>
    <row r="449" spans="1:25" ht="15.75" customHeight="1" x14ac:dyDescent="0.2">
      <c r="A449" s="182"/>
      <c r="B449" s="175"/>
      <c r="C449" s="176"/>
      <c r="D449" s="176"/>
      <c r="E449" s="176"/>
      <c r="F449" s="123"/>
      <c r="G449" s="123"/>
      <c r="H449" s="123"/>
      <c r="I449" s="123"/>
      <c r="J449" s="174"/>
      <c r="K449" s="182"/>
      <c r="L449" s="123"/>
      <c r="M449" s="123"/>
      <c r="N449" s="123"/>
      <c r="O449" s="123"/>
      <c r="P449" s="123"/>
      <c r="Q449" s="123"/>
      <c r="R449" s="123"/>
      <c r="S449" s="123"/>
      <c r="T449" s="123"/>
      <c r="U449" s="123"/>
      <c r="V449" s="123"/>
      <c r="W449" s="123"/>
      <c r="X449" s="123"/>
      <c r="Y449" s="123"/>
    </row>
    <row r="450" spans="1:25" ht="15.75" customHeight="1" x14ac:dyDescent="0.2">
      <c r="A450" s="182"/>
      <c r="B450" s="175"/>
      <c r="C450" s="176"/>
      <c r="D450" s="176"/>
      <c r="E450" s="176"/>
      <c r="F450" s="123"/>
      <c r="G450" s="123"/>
      <c r="H450" s="123"/>
      <c r="I450" s="123"/>
      <c r="J450" s="174"/>
      <c r="K450" s="182"/>
      <c r="L450" s="123"/>
      <c r="M450" s="123"/>
      <c r="N450" s="123"/>
      <c r="O450" s="123"/>
      <c r="P450" s="123"/>
      <c r="Q450" s="123"/>
      <c r="R450" s="123"/>
      <c r="S450" s="123"/>
      <c r="T450" s="123"/>
      <c r="U450" s="123"/>
      <c r="V450" s="123"/>
      <c r="W450" s="123"/>
      <c r="X450" s="123"/>
      <c r="Y450" s="123"/>
    </row>
    <row r="451" spans="1:25" ht="15.75" customHeight="1" x14ac:dyDescent="0.2">
      <c r="A451" s="182"/>
      <c r="B451" s="175"/>
      <c r="C451" s="176"/>
      <c r="D451" s="176"/>
      <c r="E451" s="176"/>
      <c r="F451" s="123"/>
      <c r="G451" s="123"/>
      <c r="H451" s="123"/>
      <c r="I451" s="123"/>
      <c r="J451" s="174"/>
      <c r="K451" s="182"/>
      <c r="L451" s="123"/>
      <c r="M451" s="123"/>
      <c r="N451" s="123"/>
      <c r="O451" s="123"/>
      <c r="P451" s="123"/>
      <c r="Q451" s="123"/>
      <c r="R451" s="123"/>
      <c r="S451" s="123"/>
      <c r="T451" s="123"/>
      <c r="U451" s="123"/>
      <c r="V451" s="123"/>
      <c r="W451" s="123"/>
      <c r="X451" s="123"/>
      <c r="Y451" s="123"/>
    </row>
    <row r="452" spans="1:25" ht="15.75" customHeight="1" x14ac:dyDescent="0.2">
      <c r="A452" s="182"/>
      <c r="B452" s="175"/>
      <c r="C452" s="176"/>
      <c r="D452" s="176"/>
      <c r="E452" s="176"/>
      <c r="F452" s="123"/>
      <c r="G452" s="123"/>
      <c r="H452" s="123"/>
      <c r="I452" s="123"/>
      <c r="J452" s="174"/>
      <c r="K452" s="182"/>
      <c r="L452" s="123"/>
      <c r="M452" s="123"/>
      <c r="N452" s="123"/>
      <c r="O452" s="123"/>
      <c r="P452" s="123"/>
      <c r="Q452" s="123"/>
      <c r="R452" s="123"/>
      <c r="S452" s="123"/>
      <c r="T452" s="123"/>
      <c r="U452" s="123"/>
      <c r="V452" s="123"/>
      <c r="W452" s="123"/>
      <c r="X452" s="123"/>
      <c r="Y452" s="123"/>
    </row>
    <row r="453" spans="1:25" ht="15.75" customHeight="1" x14ac:dyDescent="0.2">
      <c r="A453" s="182"/>
      <c r="B453" s="175"/>
      <c r="C453" s="176"/>
      <c r="D453" s="176"/>
      <c r="E453" s="176"/>
      <c r="F453" s="123"/>
      <c r="G453" s="123"/>
      <c r="H453" s="123"/>
      <c r="I453" s="123"/>
      <c r="J453" s="174"/>
      <c r="K453" s="182"/>
      <c r="L453" s="123"/>
      <c r="M453" s="123"/>
      <c r="N453" s="123"/>
      <c r="O453" s="123"/>
      <c r="P453" s="123"/>
      <c r="Q453" s="123"/>
      <c r="R453" s="123"/>
      <c r="S453" s="123"/>
      <c r="T453" s="123"/>
      <c r="U453" s="123"/>
      <c r="V453" s="123"/>
      <c r="W453" s="123"/>
      <c r="X453" s="123"/>
      <c r="Y453" s="123"/>
    </row>
    <row r="454" spans="1:25" ht="15.75" customHeight="1" x14ac:dyDescent="0.2">
      <c r="A454" s="182"/>
      <c r="B454" s="175"/>
      <c r="C454" s="176"/>
      <c r="D454" s="176"/>
      <c r="E454" s="176"/>
      <c r="F454" s="123"/>
      <c r="G454" s="123"/>
      <c r="H454" s="123"/>
      <c r="I454" s="123"/>
      <c r="J454" s="174"/>
      <c r="K454" s="182"/>
      <c r="L454" s="123"/>
      <c r="M454" s="123"/>
      <c r="N454" s="123"/>
      <c r="O454" s="123"/>
      <c r="P454" s="123"/>
      <c r="Q454" s="123"/>
      <c r="R454" s="123"/>
      <c r="S454" s="123"/>
      <c r="T454" s="123"/>
      <c r="U454" s="123"/>
      <c r="V454" s="123"/>
      <c r="W454" s="123"/>
      <c r="X454" s="123"/>
      <c r="Y454" s="123"/>
    </row>
    <row r="455" spans="1:25" ht="15.75" customHeight="1" x14ac:dyDescent="0.2">
      <c r="A455" s="182"/>
      <c r="B455" s="175"/>
      <c r="C455" s="176"/>
      <c r="D455" s="176"/>
      <c r="E455" s="176"/>
      <c r="F455" s="123"/>
      <c r="G455" s="123"/>
      <c r="H455" s="123"/>
      <c r="I455" s="123"/>
      <c r="J455" s="174"/>
      <c r="K455" s="182"/>
      <c r="L455" s="123"/>
      <c r="M455" s="123"/>
      <c r="N455" s="123"/>
      <c r="O455" s="123"/>
      <c r="P455" s="123"/>
      <c r="Q455" s="123"/>
      <c r="R455" s="123"/>
      <c r="S455" s="123"/>
      <c r="T455" s="123"/>
      <c r="U455" s="123"/>
      <c r="V455" s="123"/>
      <c r="W455" s="123"/>
      <c r="X455" s="123"/>
      <c r="Y455" s="123"/>
    </row>
    <row r="456" spans="1:25" ht="15.75" customHeight="1" x14ac:dyDescent="0.2">
      <c r="A456" s="182"/>
      <c r="B456" s="175"/>
      <c r="C456" s="176"/>
      <c r="D456" s="176"/>
      <c r="E456" s="176"/>
      <c r="F456" s="123"/>
      <c r="G456" s="123"/>
      <c r="H456" s="123"/>
      <c r="I456" s="123"/>
      <c r="J456" s="174"/>
      <c r="K456" s="182"/>
      <c r="L456" s="123"/>
      <c r="M456" s="123"/>
      <c r="N456" s="123"/>
      <c r="O456" s="123"/>
      <c r="P456" s="123"/>
      <c r="Q456" s="123"/>
      <c r="R456" s="123"/>
      <c r="S456" s="123"/>
      <c r="T456" s="123"/>
      <c r="U456" s="123"/>
      <c r="V456" s="123"/>
      <c r="W456" s="123"/>
      <c r="X456" s="123"/>
      <c r="Y456" s="123"/>
    </row>
    <row r="457" spans="1:25" ht="15.75" customHeight="1" x14ac:dyDescent="0.2">
      <c r="A457" s="182"/>
      <c r="B457" s="175"/>
      <c r="C457" s="176"/>
      <c r="D457" s="176"/>
      <c r="E457" s="176"/>
      <c r="F457" s="123"/>
      <c r="G457" s="123"/>
      <c r="H457" s="123"/>
      <c r="I457" s="123"/>
      <c r="J457" s="174"/>
      <c r="K457" s="182"/>
      <c r="L457" s="123"/>
      <c r="M457" s="123"/>
      <c r="N457" s="123"/>
      <c r="O457" s="123"/>
      <c r="P457" s="123"/>
      <c r="Q457" s="123"/>
      <c r="R457" s="123"/>
      <c r="S457" s="123"/>
      <c r="T457" s="123"/>
      <c r="U457" s="123"/>
      <c r="V457" s="123"/>
      <c r="W457" s="123"/>
      <c r="X457" s="123"/>
      <c r="Y457" s="123"/>
    </row>
    <row r="458" spans="1:25" ht="15.75" customHeight="1" x14ac:dyDescent="0.2">
      <c r="A458" s="182"/>
      <c r="B458" s="175"/>
      <c r="C458" s="176"/>
      <c r="D458" s="176"/>
      <c r="E458" s="176"/>
      <c r="F458" s="123"/>
      <c r="G458" s="123"/>
      <c r="H458" s="123"/>
      <c r="I458" s="123"/>
      <c r="J458" s="174"/>
      <c r="K458" s="182"/>
      <c r="L458" s="123"/>
      <c r="M458" s="123"/>
      <c r="N458" s="123"/>
      <c r="O458" s="123"/>
      <c r="P458" s="123"/>
      <c r="Q458" s="123"/>
      <c r="R458" s="123"/>
      <c r="S458" s="123"/>
      <c r="T458" s="123"/>
      <c r="U458" s="123"/>
      <c r="V458" s="123"/>
      <c r="W458" s="123"/>
      <c r="X458" s="123"/>
      <c r="Y458" s="123"/>
    </row>
    <row r="459" spans="1:25" ht="15.75" customHeight="1" x14ac:dyDescent="0.2">
      <c r="A459" s="182"/>
      <c r="B459" s="175"/>
      <c r="C459" s="176"/>
      <c r="D459" s="176"/>
      <c r="E459" s="176"/>
      <c r="F459" s="123"/>
      <c r="G459" s="123"/>
      <c r="H459" s="123"/>
      <c r="I459" s="123"/>
      <c r="J459" s="174"/>
      <c r="K459" s="182"/>
      <c r="L459" s="123"/>
      <c r="M459" s="123"/>
      <c r="N459" s="123"/>
      <c r="O459" s="123"/>
      <c r="P459" s="123"/>
      <c r="Q459" s="123"/>
      <c r="R459" s="123"/>
      <c r="S459" s="123"/>
      <c r="T459" s="123"/>
      <c r="U459" s="123"/>
      <c r="V459" s="123"/>
      <c r="W459" s="123"/>
      <c r="X459" s="123"/>
      <c r="Y459" s="123"/>
    </row>
    <row r="460" spans="1:25" ht="15.75" customHeight="1" x14ac:dyDescent="0.2">
      <c r="A460" s="182"/>
      <c r="B460" s="175"/>
      <c r="C460" s="176"/>
      <c r="D460" s="176"/>
      <c r="E460" s="176"/>
      <c r="F460" s="123"/>
      <c r="G460" s="123"/>
      <c r="H460" s="123"/>
      <c r="I460" s="123"/>
      <c r="J460" s="174"/>
      <c r="K460" s="182"/>
      <c r="L460" s="123"/>
      <c r="M460" s="123"/>
      <c r="N460" s="123"/>
      <c r="O460" s="123"/>
      <c r="P460" s="123"/>
      <c r="Q460" s="123"/>
      <c r="R460" s="123"/>
      <c r="S460" s="123"/>
      <c r="T460" s="123"/>
      <c r="U460" s="123"/>
      <c r="V460" s="123"/>
      <c r="W460" s="123"/>
      <c r="X460" s="123"/>
      <c r="Y460" s="123"/>
    </row>
    <row r="461" spans="1:25" ht="15.75" customHeight="1" x14ac:dyDescent="0.2">
      <c r="A461" s="182"/>
      <c r="B461" s="175"/>
      <c r="C461" s="176"/>
      <c r="D461" s="176"/>
      <c r="E461" s="176"/>
      <c r="F461" s="123"/>
      <c r="G461" s="123"/>
      <c r="H461" s="123"/>
      <c r="I461" s="123"/>
      <c r="J461" s="174"/>
      <c r="K461" s="182"/>
      <c r="L461" s="123"/>
      <c r="M461" s="123"/>
      <c r="N461" s="123"/>
      <c r="O461" s="123"/>
      <c r="P461" s="123"/>
      <c r="Q461" s="123"/>
      <c r="R461" s="123"/>
      <c r="S461" s="123"/>
      <c r="T461" s="123"/>
      <c r="U461" s="123"/>
      <c r="V461" s="123"/>
      <c r="W461" s="123"/>
      <c r="X461" s="123"/>
      <c r="Y461" s="123"/>
    </row>
    <row r="462" spans="1:25" ht="15.75" customHeight="1" x14ac:dyDescent="0.2">
      <c r="A462" s="182"/>
      <c r="B462" s="175"/>
      <c r="C462" s="176"/>
      <c r="D462" s="176"/>
      <c r="E462" s="176"/>
      <c r="F462" s="123"/>
      <c r="G462" s="123"/>
      <c r="H462" s="123"/>
      <c r="I462" s="123"/>
      <c r="J462" s="174"/>
      <c r="K462" s="182"/>
      <c r="L462" s="123"/>
      <c r="M462" s="123"/>
      <c r="N462" s="123"/>
      <c r="O462" s="123"/>
      <c r="P462" s="123"/>
      <c r="Q462" s="123"/>
      <c r="R462" s="123"/>
      <c r="S462" s="123"/>
      <c r="T462" s="123"/>
      <c r="U462" s="123"/>
      <c r="V462" s="123"/>
      <c r="W462" s="123"/>
      <c r="X462" s="123"/>
      <c r="Y462" s="123"/>
    </row>
    <row r="463" spans="1:25" ht="15.75" customHeight="1" x14ac:dyDescent="0.2">
      <c r="A463" s="182"/>
      <c r="B463" s="175"/>
      <c r="C463" s="176"/>
      <c r="D463" s="176"/>
      <c r="E463" s="176"/>
      <c r="F463" s="123"/>
      <c r="G463" s="123"/>
      <c r="H463" s="123"/>
      <c r="I463" s="123"/>
      <c r="J463" s="174"/>
      <c r="K463" s="182"/>
      <c r="L463" s="123"/>
      <c r="M463" s="123"/>
      <c r="N463" s="123"/>
      <c r="O463" s="123"/>
      <c r="P463" s="123"/>
      <c r="Q463" s="123"/>
      <c r="R463" s="123"/>
      <c r="S463" s="123"/>
      <c r="T463" s="123"/>
      <c r="U463" s="123"/>
      <c r="V463" s="123"/>
      <c r="W463" s="123"/>
      <c r="X463" s="123"/>
      <c r="Y463" s="123"/>
    </row>
    <row r="464" spans="1:25" ht="15.75" customHeight="1" x14ac:dyDescent="0.2">
      <c r="A464" s="182"/>
      <c r="B464" s="175"/>
      <c r="C464" s="176"/>
      <c r="D464" s="176"/>
      <c r="E464" s="176"/>
      <c r="F464" s="123"/>
      <c r="G464" s="123"/>
      <c r="H464" s="123"/>
      <c r="I464" s="123"/>
      <c r="J464" s="174"/>
      <c r="K464" s="182"/>
      <c r="L464" s="123"/>
      <c r="M464" s="123"/>
      <c r="N464" s="123"/>
      <c r="O464" s="123"/>
      <c r="P464" s="123"/>
      <c r="Q464" s="123"/>
      <c r="R464" s="123"/>
      <c r="S464" s="123"/>
      <c r="T464" s="123"/>
      <c r="U464" s="123"/>
      <c r="V464" s="123"/>
      <c r="W464" s="123"/>
      <c r="X464" s="123"/>
      <c r="Y464" s="123"/>
    </row>
    <row r="465" spans="1:25" ht="15.75" customHeight="1" x14ac:dyDescent="0.2">
      <c r="A465" s="182"/>
      <c r="B465" s="175"/>
      <c r="C465" s="176"/>
      <c r="D465" s="176"/>
      <c r="E465" s="176"/>
      <c r="F465" s="123"/>
      <c r="G465" s="123"/>
      <c r="H465" s="123"/>
      <c r="I465" s="123"/>
      <c r="J465" s="174"/>
      <c r="K465" s="182"/>
      <c r="L465" s="123"/>
      <c r="M465" s="123"/>
      <c r="N465" s="123"/>
      <c r="O465" s="123"/>
      <c r="P465" s="123"/>
      <c r="Q465" s="123"/>
      <c r="R465" s="123"/>
      <c r="S465" s="123"/>
      <c r="T465" s="123"/>
      <c r="U465" s="123"/>
      <c r="V465" s="123"/>
      <c r="W465" s="123"/>
      <c r="X465" s="123"/>
      <c r="Y465" s="123"/>
    </row>
    <row r="466" spans="1:25" ht="15.75" customHeight="1" x14ac:dyDescent="0.2">
      <c r="A466" s="182"/>
      <c r="B466" s="175"/>
      <c r="C466" s="176"/>
      <c r="D466" s="176"/>
      <c r="E466" s="176"/>
      <c r="F466" s="123"/>
      <c r="G466" s="123"/>
      <c r="H466" s="123"/>
      <c r="I466" s="123"/>
      <c r="J466" s="174"/>
      <c r="K466" s="182"/>
      <c r="L466" s="123"/>
      <c r="M466" s="123"/>
      <c r="N466" s="123"/>
      <c r="O466" s="123"/>
      <c r="P466" s="123"/>
      <c r="Q466" s="123"/>
      <c r="R466" s="123"/>
      <c r="S466" s="123"/>
      <c r="T466" s="123"/>
      <c r="U466" s="123"/>
      <c r="V466" s="123"/>
      <c r="W466" s="123"/>
      <c r="X466" s="123"/>
      <c r="Y466" s="123"/>
    </row>
    <row r="467" spans="1:25" ht="15.75" customHeight="1" x14ac:dyDescent="0.2">
      <c r="A467" s="182"/>
      <c r="B467" s="175"/>
      <c r="C467" s="176"/>
      <c r="D467" s="176"/>
      <c r="E467" s="176"/>
      <c r="F467" s="123"/>
      <c r="G467" s="123"/>
      <c r="H467" s="123"/>
      <c r="I467" s="123"/>
      <c r="J467" s="174"/>
      <c r="K467" s="182"/>
      <c r="L467" s="123"/>
      <c r="M467" s="123"/>
      <c r="N467" s="123"/>
      <c r="O467" s="123"/>
      <c r="P467" s="123"/>
      <c r="Q467" s="123"/>
      <c r="R467" s="123"/>
      <c r="S467" s="123"/>
      <c r="T467" s="123"/>
      <c r="U467" s="123"/>
      <c r="V467" s="123"/>
      <c r="W467" s="123"/>
      <c r="X467" s="123"/>
      <c r="Y467" s="123"/>
    </row>
    <row r="468" spans="1:25" ht="15.75" customHeight="1" x14ac:dyDescent="0.2">
      <c r="A468" s="182"/>
      <c r="B468" s="175"/>
      <c r="C468" s="176"/>
      <c r="D468" s="176"/>
      <c r="E468" s="176"/>
      <c r="F468" s="123"/>
      <c r="G468" s="123"/>
      <c r="H468" s="123"/>
      <c r="I468" s="123"/>
      <c r="J468" s="174"/>
      <c r="K468" s="182"/>
      <c r="L468" s="123"/>
      <c r="M468" s="123"/>
      <c r="N468" s="123"/>
      <c r="O468" s="123"/>
      <c r="P468" s="123"/>
      <c r="Q468" s="123"/>
      <c r="R468" s="123"/>
      <c r="S468" s="123"/>
      <c r="T468" s="123"/>
      <c r="U468" s="123"/>
      <c r="V468" s="123"/>
      <c r="W468" s="123"/>
      <c r="X468" s="123"/>
      <c r="Y468" s="123"/>
    </row>
    <row r="469" spans="1:25" ht="15.75" customHeight="1" x14ac:dyDescent="0.2">
      <c r="A469" s="182"/>
      <c r="B469" s="175"/>
      <c r="C469" s="176"/>
      <c r="D469" s="176"/>
      <c r="E469" s="176"/>
      <c r="F469" s="123"/>
      <c r="G469" s="123"/>
      <c r="H469" s="123"/>
      <c r="I469" s="123"/>
      <c r="J469" s="174"/>
      <c r="K469" s="182"/>
      <c r="L469" s="123"/>
      <c r="M469" s="123"/>
      <c r="N469" s="123"/>
      <c r="O469" s="123"/>
      <c r="P469" s="123"/>
      <c r="Q469" s="123"/>
      <c r="R469" s="123"/>
      <c r="S469" s="123"/>
      <c r="T469" s="123"/>
      <c r="U469" s="123"/>
      <c r="V469" s="123"/>
      <c r="W469" s="123"/>
      <c r="X469" s="123"/>
      <c r="Y469" s="123"/>
    </row>
    <row r="470" spans="1:25" ht="15.75" customHeight="1" x14ac:dyDescent="0.2">
      <c r="A470" s="182"/>
      <c r="B470" s="175"/>
      <c r="C470" s="176"/>
      <c r="D470" s="176"/>
      <c r="E470" s="176"/>
      <c r="F470" s="123"/>
      <c r="G470" s="123"/>
      <c r="H470" s="123"/>
      <c r="I470" s="123"/>
      <c r="J470" s="174"/>
      <c r="K470" s="182"/>
      <c r="L470" s="123"/>
      <c r="M470" s="123"/>
      <c r="N470" s="123"/>
      <c r="O470" s="123"/>
      <c r="P470" s="123"/>
      <c r="Q470" s="123"/>
      <c r="R470" s="123"/>
      <c r="S470" s="123"/>
      <c r="T470" s="123"/>
      <c r="U470" s="123"/>
      <c r="V470" s="123"/>
      <c r="W470" s="123"/>
      <c r="X470" s="123"/>
      <c r="Y470" s="123"/>
    </row>
    <row r="471" spans="1:25" ht="15.75" customHeight="1" x14ac:dyDescent="0.2">
      <c r="A471" s="182"/>
      <c r="B471" s="175"/>
      <c r="C471" s="176"/>
      <c r="D471" s="176"/>
      <c r="E471" s="176"/>
      <c r="F471" s="123"/>
      <c r="G471" s="123"/>
      <c r="H471" s="123"/>
      <c r="I471" s="123"/>
      <c r="J471" s="174"/>
      <c r="K471" s="182"/>
      <c r="L471" s="123"/>
      <c r="M471" s="123"/>
      <c r="N471" s="123"/>
      <c r="O471" s="123"/>
      <c r="P471" s="123"/>
      <c r="Q471" s="123"/>
      <c r="R471" s="123"/>
      <c r="S471" s="123"/>
      <c r="T471" s="123"/>
      <c r="U471" s="123"/>
      <c r="V471" s="123"/>
      <c r="W471" s="123"/>
      <c r="X471" s="123"/>
      <c r="Y471" s="123"/>
    </row>
    <row r="472" spans="1:25" ht="15.75" customHeight="1" x14ac:dyDescent="0.2">
      <c r="A472" s="182"/>
      <c r="B472" s="175"/>
      <c r="C472" s="176"/>
      <c r="D472" s="176"/>
      <c r="E472" s="176"/>
      <c r="F472" s="123"/>
      <c r="G472" s="123"/>
      <c r="H472" s="123"/>
      <c r="I472" s="123"/>
      <c r="J472" s="174"/>
      <c r="K472" s="182"/>
      <c r="L472" s="123"/>
      <c r="M472" s="123"/>
      <c r="N472" s="123"/>
      <c r="O472" s="123"/>
      <c r="P472" s="123"/>
      <c r="Q472" s="123"/>
      <c r="R472" s="123"/>
      <c r="S472" s="123"/>
      <c r="T472" s="123"/>
      <c r="U472" s="123"/>
      <c r="V472" s="123"/>
      <c r="W472" s="123"/>
      <c r="X472" s="123"/>
      <c r="Y472" s="123"/>
    </row>
    <row r="473" spans="1:25" ht="15.75" customHeight="1" x14ac:dyDescent="0.2">
      <c r="A473" s="182"/>
      <c r="B473" s="175"/>
      <c r="C473" s="176"/>
      <c r="D473" s="176"/>
      <c r="E473" s="176"/>
      <c r="F473" s="123"/>
      <c r="G473" s="123"/>
      <c r="H473" s="123"/>
      <c r="I473" s="123"/>
      <c r="J473" s="174"/>
      <c r="K473" s="182"/>
      <c r="L473" s="123"/>
      <c r="M473" s="123"/>
      <c r="N473" s="123"/>
      <c r="O473" s="123"/>
      <c r="P473" s="123"/>
      <c r="Q473" s="123"/>
      <c r="R473" s="123"/>
      <c r="S473" s="123"/>
      <c r="T473" s="123"/>
      <c r="U473" s="123"/>
      <c r="V473" s="123"/>
      <c r="W473" s="123"/>
      <c r="X473" s="123"/>
      <c r="Y473" s="123"/>
    </row>
    <row r="474" spans="1:25" ht="15.75" customHeight="1" x14ac:dyDescent="0.2">
      <c r="A474" s="182"/>
      <c r="B474" s="175"/>
      <c r="C474" s="176"/>
      <c r="D474" s="176"/>
      <c r="E474" s="176"/>
      <c r="F474" s="123"/>
      <c r="G474" s="123"/>
      <c r="H474" s="123"/>
      <c r="I474" s="123"/>
      <c r="J474" s="174"/>
      <c r="K474" s="182"/>
      <c r="L474" s="123"/>
      <c r="M474" s="123"/>
      <c r="N474" s="123"/>
      <c r="O474" s="123"/>
      <c r="P474" s="123"/>
      <c r="Q474" s="123"/>
      <c r="R474" s="123"/>
      <c r="S474" s="123"/>
      <c r="T474" s="123"/>
      <c r="U474" s="123"/>
      <c r="V474" s="123"/>
      <c r="W474" s="123"/>
      <c r="X474" s="123"/>
      <c r="Y474" s="123"/>
    </row>
    <row r="475" spans="1:25" ht="15.75" customHeight="1" x14ac:dyDescent="0.2">
      <c r="A475" s="182"/>
      <c r="B475" s="175"/>
      <c r="C475" s="176"/>
      <c r="D475" s="176"/>
      <c r="E475" s="176"/>
      <c r="F475" s="123"/>
      <c r="G475" s="123"/>
      <c r="H475" s="123"/>
      <c r="I475" s="123"/>
      <c r="J475" s="174"/>
      <c r="K475" s="182"/>
      <c r="L475" s="123"/>
      <c r="M475" s="123"/>
      <c r="N475" s="123"/>
      <c r="O475" s="123"/>
      <c r="P475" s="123"/>
      <c r="Q475" s="123"/>
      <c r="R475" s="123"/>
      <c r="S475" s="123"/>
      <c r="T475" s="123"/>
      <c r="U475" s="123"/>
      <c r="V475" s="123"/>
      <c r="W475" s="123"/>
      <c r="X475" s="123"/>
      <c r="Y475" s="123"/>
    </row>
    <row r="476" spans="1:25" ht="15.75" customHeight="1" x14ac:dyDescent="0.2">
      <c r="A476" s="182"/>
      <c r="B476" s="175"/>
      <c r="C476" s="176"/>
      <c r="D476" s="176"/>
      <c r="E476" s="176"/>
      <c r="F476" s="123"/>
      <c r="G476" s="123"/>
      <c r="H476" s="123"/>
      <c r="I476" s="123"/>
      <c r="J476" s="174"/>
      <c r="K476" s="182"/>
      <c r="L476" s="123"/>
      <c r="M476" s="123"/>
      <c r="N476" s="123"/>
      <c r="O476" s="123"/>
      <c r="P476" s="123"/>
      <c r="Q476" s="123"/>
      <c r="R476" s="123"/>
      <c r="S476" s="123"/>
      <c r="T476" s="123"/>
      <c r="U476" s="123"/>
      <c r="V476" s="123"/>
      <c r="W476" s="123"/>
      <c r="X476" s="123"/>
      <c r="Y476" s="123"/>
    </row>
    <row r="477" spans="1:25" ht="15.75" customHeight="1" x14ac:dyDescent="0.2">
      <c r="A477" s="182"/>
      <c r="B477" s="175"/>
      <c r="C477" s="176"/>
      <c r="D477" s="176"/>
      <c r="E477" s="176"/>
      <c r="F477" s="123"/>
      <c r="G477" s="123"/>
      <c r="H477" s="123"/>
      <c r="I477" s="123"/>
      <c r="J477" s="174"/>
      <c r="K477" s="182"/>
      <c r="L477" s="123"/>
      <c r="M477" s="123"/>
      <c r="N477" s="123"/>
      <c r="O477" s="123"/>
      <c r="P477" s="123"/>
      <c r="Q477" s="123"/>
      <c r="R477" s="123"/>
      <c r="S477" s="123"/>
      <c r="T477" s="123"/>
      <c r="U477" s="123"/>
      <c r="V477" s="123"/>
      <c r="W477" s="123"/>
      <c r="X477" s="123"/>
      <c r="Y477" s="123"/>
    </row>
    <row r="478" spans="1:25" ht="15.75" customHeight="1" x14ac:dyDescent="0.2">
      <c r="A478" s="182"/>
      <c r="B478" s="175"/>
      <c r="C478" s="176"/>
      <c r="D478" s="176"/>
      <c r="E478" s="176"/>
      <c r="F478" s="123"/>
      <c r="G478" s="123"/>
      <c r="H478" s="123"/>
      <c r="I478" s="123"/>
      <c r="J478" s="174"/>
      <c r="K478" s="182"/>
      <c r="L478" s="123"/>
      <c r="M478" s="123"/>
      <c r="N478" s="123"/>
      <c r="O478" s="123"/>
      <c r="P478" s="123"/>
      <c r="Q478" s="123"/>
      <c r="R478" s="123"/>
      <c r="S478" s="123"/>
      <c r="T478" s="123"/>
      <c r="U478" s="123"/>
      <c r="V478" s="123"/>
      <c r="W478" s="123"/>
      <c r="X478" s="123"/>
      <c r="Y478" s="123"/>
    </row>
    <row r="479" spans="1:25" ht="15.75" customHeight="1" x14ac:dyDescent="0.2">
      <c r="A479" s="182"/>
      <c r="B479" s="175"/>
      <c r="C479" s="176"/>
      <c r="D479" s="176"/>
      <c r="E479" s="176"/>
      <c r="F479" s="123"/>
      <c r="G479" s="123"/>
      <c r="H479" s="123"/>
      <c r="I479" s="123"/>
      <c r="J479" s="174"/>
      <c r="K479" s="182"/>
      <c r="L479" s="123"/>
      <c r="M479" s="123"/>
      <c r="N479" s="123"/>
      <c r="O479" s="123"/>
      <c r="P479" s="123"/>
      <c r="Q479" s="123"/>
      <c r="R479" s="123"/>
      <c r="S479" s="123"/>
      <c r="T479" s="123"/>
      <c r="U479" s="123"/>
      <c r="V479" s="123"/>
      <c r="W479" s="123"/>
      <c r="X479" s="123"/>
      <c r="Y479" s="123"/>
    </row>
    <row r="480" spans="1:25" ht="15.75" customHeight="1" x14ac:dyDescent="0.2">
      <c r="A480" s="182"/>
      <c r="B480" s="175"/>
      <c r="C480" s="176"/>
      <c r="D480" s="176"/>
      <c r="E480" s="176"/>
      <c r="F480" s="123"/>
      <c r="G480" s="123"/>
      <c r="H480" s="123"/>
      <c r="I480" s="123"/>
      <c r="J480" s="174"/>
      <c r="K480" s="182"/>
      <c r="L480" s="123"/>
      <c r="M480" s="123"/>
      <c r="N480" s="123"/>
      <c r="O480" s="123"/>
      <c r="P480" s="123"/>
      <c r="Q480" s="123"/>
      <c r="R480" s="123"/>
      <c r="S480" s="123"/>
      <c r="T480" s="123"/>
      <c r="U480" s="123"/>
      <c r="V480" s="123"/>
      <c r="W480" s="123"/>
      <c r="X480" s="123"/>
      <c r="Y480" s="123"/>
    </row>
    <row r="481" spans="1:25" ht="15.75" customHeight="1" x14ac:dyDescent="0.2">
      <c r="A481" s="182"/>
      <c r="B481" s="175"/>
      <c r="C481" s="176"/>
      <c r="D481" s="176"/>
      <c r="E481" s="176"/>
      <c r="F481" s="123"/>
      <c r="G481" s="123"/>
      <c r="H481" s="123"/>
      <c r="I481" s="123"/>
      <c r="J481" s="174"/>
      <c r="K481" s="182"/>
      <c r="L481" s="123"/>
      <c r="M481" s="123"/>
      <c r="N481" s="123"/>
      <c r="O481" s="123"/>
      <c r="P481" s="123"/>
      <c r="Q481" s="123"/>
      <c r="R481" s="123"/>
      <c r="S481" s="123"/>
      <c r="T481" s="123"/>
      <c r="U481" s="123"/>
      <c r="V481" s="123"/>
      <c r="W481" s="123"/>
      <c r="X481" s="123"/>
      <c r="Y481" s="123"/>
    </row>
    <row r="482" spans="1:25" ht="15.75" customHeight="1" x14ac:dyDescent="0.2">
      <c r="A482" s="182"/>
      <c r="B482" s="175"/>
      <c r="C482" s="176"/>
      <c r="D482" s="176"/>
      <c r="E482" s="176"/>
      <c r="F482" s="123"/>
      <c r="G482" s="123"/>
      <c r="H482" s="123"/>
      <c r="I482" s="123"/>
      <c r="J482" s="174"/>
      <c r="K482" s="182"/>
      <c r="L482" s="123"/>
      <c r="M482" s="123"/>
      <c r="N482" s="123"/>
      <c r="O482" s="123"/>
      <c r="P482" s="123"/>
      <c r="Q482" s="123"/>
      <c r="R482" s="123"/>
      <c r="S482" s="123"/>
      <c r="T482" s="123"/>
      <c r="U482" s="123"/>
      <c r="V482" s="123"/>
      <c r="W482" s="123"/>
      <c r="X482" s="123"/>
      <c r="Y482" s="123"/>
    </row>
    <row r="483" spans="1:25" ht="15.75" customHeight="1" x14ac:dyDescent="0.2">
      <c r="A483" s="182"/>
      <c r="B483" s="175"/>
      <c r="C483" s="176"/>
      <c r="D483" s="176"/>
      <c r="E483" s="176"/>
      <c r="F483" s="123"/>
      <c r="G483" s="123"/>
      <c r="H483" s="123"/>
      <c r="I483" s="123"/>
      <c r="J483" s="174"/>
      <c r="K483" s="182"/>
      <c r="L483" s="123"/>
      <c r="M483" s="123"/>
      <c r="N483" s="123"/>
      <c r="O483" s="123"/>
      <c r="P483" s="123"/>
      <c r="Q483" s="123"/>
      <c r="R483" s="123"/>
      <c r="S483" s="123"/>
      <c r="T483" s="123"/>
      <c r="U483" s="123"/>
      <c r="V483" s="123"/>
      <c r="W483" s="123"/>
      <c r="X483" s="123"/>
      <c r="Y483" s="123"/>
    </row>
    <row r="484" spans="1:25" ht="15.75" customHeight="1" x14ac:dyDescent="0.2">
      <c r="A484" s="182"/>
      <c r="B484" s="175"/>
      <c r="C484" s="176"/>
      <c r="D484" s="176"/>
      <c r="E484" s="176"/>
      <c r="F484" s="123"/>
      <c r="G484" s="123"/>
      <c r="H484" s="123"/>
      <c r="I484" s="123"/>
      <c r="J484" s="174"/>
      <c r="K484" s="182"/>
      <c r="L484" s="123"/>
      <c r="M484" s="123"/>
      <c r="N484" s="123"/>
      <c r="O484" s="123"/>
      <c r="P484" s="123"/>
      <c r="Q484" s="123"/>
      <c r="R484" s="123"/>
      <c r="S484" s="123"/>
      <c r="T484" s="123"/>
      <c r="U484" s="123"/>
      <c r="V484" s="123"/>
      <c r="W484" s="123"/>
      <c r="X484" s="123"/>
      <c r="Y484" s="123"/>
    </row>
    <row r="485" spans="1:25" ht="15.75" customHeight="1" x14ac:dyDescent="0.2">
      <c r="A485" s="182"/>
      <c r="B485" s="175"/>
      <c r="C485" s="176"/>
      <c r="D485" s="176"/>
      <c r="E485" s="176"/>
      <c r="F485" s="123"/>
      <c r="G485" s="123"/>
      <c r="H485" s="123"/>
      <c r="I485" s="123"/>
      <c r="J485" s="174"/>
      <c r="K485" s="182"/>
      <c r="L485" s="123"/>
      <c r="M485" s="123"/>
      <c r="N485" s="123"/>
      <c r="O485" s="123"/>
      <c r="P485" s="123"/>
      <c r="Q485" s="123"/>
      <c r="R485" s="123"/>
      <c r="S485" s="123"/>
      <c r="T485" s="123"/>
      <c r="U485" s="123"/>
      <c r="V485" s="123"/>
      <c r="W485" s="123"/>
      <c r="X485" s="123"/>
      <c r="Y485" s="123"/>
    </row>
    <row r="486" spans="1:25" ht="15.75" customHeight="1" x14ac:dyDescent="0.2">
      <c r="A486" s="182"/>
      <c r="B486" s="175"/>
      <c r="C486" s="176"/>
      <c r="D486" s="176"/>
      <c r="E486" s="176"/>
      <c r="F486" s="123"/>
      <c r="G486" s="123"/>
      <c r="H486" s="123"/>
      <c r="I486" s="123"/>
      <c r="J486" s="174"/>
      <c r="K486" s="182"/>
      <c r="L486" s="123"/>
      <c r="M486" s="123"/>
      <c r="N486" s="123"/>
      <c r="O486" s="123"/>
      <c r="P486" s="123"/>
      <c r="Q486" s="123"/>
      <c r="R486" s="123"/>
      <c r="S486" s="123"/>
      <c r="T486" s="123"/>
      <c r="U486" s="123"/>
      <c r="V486" s="123"/>
      <c r="W486" s="123"/>
      <c r="X486" s="123"/>
      <c r="Y486" s="123"/>
    </row>
    <row r="487" spans="1:25" ht="15.75" customHeight="1" x14ac:dyDescent="0.2">
      <c r="A487" s="182"/>
      <c r="B487" s="175"/>
      <c r="C487" s="176"/>
      <c r="D487" s="176"/>
      <c r="E487" s="176"/>
      <c r="F487" s="123"/>
      <c r="G487" s="123"/>
      <c r="H487" s="123"/>
      <c r="I487" s="123"/>
      <c r="J487" s="174"/>
      <c r="K487" s="182"/>
      <c r="L487" s="123"/>
      <c r="M487" s="123"/>
      <c r="N487" s="123"/>
      <c r="O487" s="123"/>
      <c r="P487" s="123"/>
      <c r="Q487" s="123"/>
      <c r="R487" s="123"/>
      <c r="S487" s="123"/>
      <c r="T487" s="123"/>
      <c r="U487" s="123"/>
      <c r="V487" s="123"/>
      <c r="W487" s="123"/>
      <c r="X487" s="123"/>
      <c r="Y487" s="123"/>
    </row>
    <row r="488" spans="1:25" ht="15.75" customHeight="1" x14ac:dyDescent="0.2">
      <c r="A488" s="182"/>
      <c r="B488" s="175"/>
      <c r="C488" s="176"/>
      <c r="D488" s="176"/>
      <c r="E488" s="176"/>
      <c r="F488" s="123"/>
      <c r="G488" s="123"/>
      <c r="H488" s="123"/>
      <c r="I488" s="123"/>
      <c r="J488" s="174"/>
      <c r="K488" s="182"/>
      <c r="L488" s="123"/>
      <c r="M488" s="123"/>
      <c r="N488" s="123"/>
      <c r="O488" s="123"/>
      <c r="P488" s="123"/>
      <c r="Q488" s="123"/>
      <c r="R488" s="123"/>
      <c r="S488" s="123"/>
      <c r="T488" s="123"/>
      <c r="U488" s="123"/>
      <c r="V488" s="123"/>
      <c r="W488" s="123"/>
      <c r="X488" s="123"/>
      <c r="Y488" s="123"/>
    </row>
    <row r="489" spans="1:25" ht="15.75" customHeight="1" x14ac:dyDescent="0.2">
      <c r="A489" s="182"/>
      <c r="B489" s="175"/>
      <c r="C489" s="176"/>
      <c r="D489" s="176"/>
      <c r="E489" s="176"/>
      <c r="F489" s="123"/>
      <c r="G489" s="123"/>
      <c r="H489" s="123"/>
      <c r="I489" s="123"/>
      <c r="J489" s="174"/>
      <c r="K489" s="182"/>
      <c r="L489" s="123"/>
      <c r="M489" s="123"/>
      <c r="N489" s="123"/>
      <c r="O489" s="123"/>
      <c r="P489" s="123"/>
      <c r="Q489" s="123"/>
      <c r="R489" s="123"/>
      <c r="S489" s="123"/>
      <c r="T489" s="123"/>
      <c r="U489" s="123"/>
      <c r="V489" s="123"/>
      <c r="W489" s="123"/>
      <c r="X489" s="123"/>
      <c r="Y489" s="123"/>
    </row>
    <row r="490" spans="1:25" ht="15.75" customHeight="1" x14ac:dyDescent="0.2">
      <c r="A490" s="182"/>
      <c r="B490" s="175"/>
      <c r="C490" s="176"/>
      <c r="D490" s="176"/>
      <c r="E490" s="176"/>
      <c r="F490" s="123"/>
      <c r="G490" s="123"/>
      <c r="H490" s="123"/>
      <c r="I490" s="123"/>
      <c r="J490" s="174"/>
      <c r="K490" s="182"/>
      <c r="L490" s="123"/>
      <c r="M490" s="123"/>
      <c r="N490" s="123"/>
      <c r="O490" s="123"/>
      <c r="P490" s="123"/>
      <c r="Q490" s="123"/>
      <c r="R490" s="123"/>
      <c r="S490" s="123"/>
      <c r="T490" s="123"/>
      <c r="U490" s="123"/>
      <c r="V490" s="123"/>
      <c r="W490" s="123"/>
      <c r="X490" s="123"/>
      <c r="Y490" s="123"/>
    </row>
    <row r="491" spans="1:25" ht="15.75" customHeight="1" x14ac:dyDescent="0.2">
      <c r="A491" s="182"/>
      <c r="B491" s="175"/>
      <c r="C491" s="176"/>
      <c r="D491" s="176"/>
      <c r="E491" s="176"/>
      <c r="F491" s="123"/>
      <c r="G491" s="123"/>
      <c r="H491" s="123"/>
      <c r="I491" s="123"/>
      <c r="J491" s="174"/>
      <c r="K491" s="182"/>
      <c r="L491" s="123"/>
      <c r="M491" s="123"/>
      <c r="N491" s="123"/>
      <c r="O491" s="123"/>
      <c r="P491" s="123"/>
      <c r="Q491" s="123"/>
      <c r="R491" s="123"/>
      <c r="S491" s="123"/>
      <c r="T491" s="123"/>
      <c r="U491" s="123"/>
      <c r="V491" s="123"/>
      <c r="W491" s="123"/>
      <c r="X491" s="123"/>
      <c r="Y491" s="123"/>
    </row>
    <row r="492" spans="1:25" ht="15.75" customHeight="1" x14ac:dyDescent="0.2">
      <c r="A492" s="182"/>
      <c r="B492" s="175"/>
      <c r="C492" s="176"/>
      <c r="D492" s="176"/>
      <c r="E492" s="176"/>
      <c r="F492" s="123"/>
      <c r="G492" s="123"/>
      <c r="H492" s="123"/>
      <c r="I492" s="123"/>
      <c r="J492" s="174"/>
      <c r="K492" s="182"/>
      <c r="L492" s="123"/>
      <c r="M492" s="123"/>
      <c r="N492" s="123"/>
      <c r="O492" s="123"/>
      <c r="P492" s="123"/>
      <c r="Q492" s="123"/>
      <c r="R492" s="123"/>
      <c r="S492" s="123"/>
      <c r="T492" s="123"/>
      <c r="U492" s="123"/>
      <c r="V492" s="123"/>
      <c r="W492" s="123"/>
      <c r="X492" s="123"/>
      <c r="Y492" s="123"/>
    </row>
    <row r="493" spans="1:25" ht="15.75" customHeight="1" x14ac:dyDescent="0.2">
      <c r="A493" s="182"/>
      <c r="B493" s="175"/>
      <c r="C493" s="176"/>
      <c r="D493" s="176"/>
      <c r="E493" s="176"/>
      <c r="F493" s="123"/>
      <c r="G493" s="123"/>
      <c r="H493" s="123"/>
      <c r="I493" s="123"/>
      <c r="J493" s="174"/>
      <c r="K493" s="182"/>
      <c r="L493" s="123"/>
      <c r="M493" s="123"/>
      <c r="N493" s="123"/>
      <c r="O493" s="123"/>
      <c r="P493" s="123"/>
      <c r="Q493" s="123"/>
      <c r="R493" s="123"/>
      <c r="S493" s="123"/>
      <c r="T493" s="123"/>
      <c r="U493" s="123"/>
      <c r="V493" s="123"/>
      <c r="W493" s="123"/>
      <c r="X493" s="123"/>
      <c r="Y493" s="123"/>
    </row>
    <row r="494" spans="1:25" ht="15.75" customHeight="1" x14ac:dyDescent="0.2">
      <c r="A494" s="182"/>
      <c r="B494" s="175"/>
      <c r="C494" s="176"/>
      <c r="D494" s="176"/>
      <c r="E494" s="176"/>
      <c r="F494" s="123"/>
      <c r="G494" s="123"/>
      <c r="H494" s="123"/>
      <c r="I494" s="123"/>
      <c r="J494" s="174"/>
      <c r="K494" s="182"/>
      <c r="L494" s="123"/>
      <c r="M494" s="123"/>
      <c r="N494" s="123"/>
      <c r="O494" s="123"/>
      <c r="P494" s="123"/>
      <c r="Q494" s="123"/>
      <c r="R494" s="123"/>
      <c r="S494" s="123"/>
      <c r="T494" s="123"/>
      <c r="U494" s="123"/>
      <c r="V494" s="123"/>
      <c r="W494" s="123"/>
      <c r="X494" s="123"/>
      <c r="Y494" s="123"/>
    </row>
    <row r="495" spans="1:25" ht="15.75" customHeight="1" x14ac:dyDescent="0.2">
      <c r="A495" s="182"/>
      <c r="B495" s="175"/>
      <c r="C495" s="176"/>
      <c r="D495" s="176"/>
      <c r="E495" s="176"/>
      <c r="F495" s="123"/>
      <c r="G495" s="123"/>
      <c r="H495" s="123"/>
      <c r="I495" s="123"/>
      <c r="J495" s="174"/>
      <c r="K495" s="182"/>
      <c r="L495" s="123"/>
      <c r="M495" s="123"/>
      <c r="N495" s="123"/>
      <c r="O495" s="123"/>
      <c r="P495" s="123"/>
      <c r="Q495" s="123"/>
      <c r="R495" s="123"/>
      <c r="S495" s="123"/>
      <c r="T495" s="123"/>
      <c r="U495" s="123"/>
      <c r="V495" s="123"/>
      <c r="W495" s="123"/>
      <c r="X495" s="123"/>
      <c r="Y495" s="123"/>
    </row>
    <row r="496" spans="1:25" ht="15.75" customHeight="1" x14ac:dyDescent="0.2">
      <c r="A496" s="182"/>
      <c r="B496" s="175"/>
      <c r="C496" s="176"/>
      <c r="D496" s="176"/>
      <c r="E496" s="176"/>
      <c r="F496" s="123"/>
      <c r="G496" s="123"/>
      <c r="H496" s="123"/>
      <c r="I496" s="123"/>
      <c r="J496" s="174"/>
      <c r="K496" s="182"/>
      <c r="L496" s="123"/>
      <c r="M496" s="123"/>
      <c r="N496" s="123"/>
      <c r="O496" s="123"/>
      <c r="P496" s="123"/>
      <c r="Q496" s="123"/>
      <c r="R496" s="123"/>
      <c r="S496" s="123"/>
      <c r="T496" s="123"/>
      <c r="U496" s="123"/>
      <c r="V496" s="123"/>
      <c r="W496" s="123"/>
      <c r="X496" s="123"/>
      <c r="Y496" s="123"/>
    </row>
    <row r="497" spans="1:25" ht="15.75" customHeight="1" x14ac:dyDescent="0.2">
      <c r="A497" s="182"/>
      <c r="B497" s="175"/>
      <c r="C497" s="176"/>
      <c r="D497" s="176"/>
      <c r="E497" s="176"/>
      <c r="F497" s="123"/>
      <c r="G497" s="123"/>
      <c r="H497" s="123"/>
      <c r="I497" s="123"/>
      <c r="J497" s="174"/>
      <c r="K497" s="182"/>
      <c r="L497" s="123"/>
      <c r="M497" s="123"/>
      <c r="N497" s="123"/>
      <c r="O497" s="123"/>
      <c r="P497" s="123"/>
      <c r="Q497" s="123"/>
      <c r="R497" s="123"/>
      <c r="S497" s="123"/>
      <c r="T497" s="123"/>
      <c r="U497" s="123"/>
      <c r="V497" s="123"/>
      <c r="W497" s="123"/>
      <c r="X497" s="123"/>
      <c r="Y497" s="123"/>
    </row>
    <row r="498" spans="1:25" ht="15.75" customHeight="1" x14ac:dyDescent="0.2">
      <c r="A498" s="182"/>
      <c r="B498" s="175"/>
      <c r="C498" s="176"/>
      <c r="D498" s="176"/>
      <c r="E498" s="176"/>
      <c r="F498" s="123"/>
      <c r="G498" s="123"/>
      <c r="H498" s="123"/>
      <c r="I498" s="123"/>
      <c r="J498" s="174"/>
      <c r="K498" s="182"/>
      <c r="L498" s="123"/>
      <c r="M498" s="123"/>
      <c r="N498" s="123"/>
      <c r="O498" s="123"/>
      <c r="P498" s="123"/>
      <c r="Q498" s="123"/>
      <c r="R498" s="123"/>
      <c r="S498" s="123"/>
      <c r="T498" s="123"/>
      <c r="U498" s="123"/>
      <c r="V498" s="123"/>
      <c r="W498" s="123"/>
      <c r="X498" s="123"/>
      <c r="Y498" s="123"/>
    </row>
    <row r="499" spans="1:25" ht="15.75" customHeight="1" x14ac:dyDescent="0.2">
      <c r="A499" s="182"/>
      <c r="B499" s="175"/>
      <c r="C499" s="176"/>
      <c r="D499" s="176"/>
      <c r="E499" s="176"/>
      <c r="F499" s="123"/>
      <c r="G499" s="123"/>
      <c r="H499" s="123"/>
      <c r="I499" s="123"/>
      <c r="J499" s="174"/>
      <c r="K499" s="182"/>
      <c r="L499" s="123"/>
      <c r="M499" s="123"/>
      <c r="N499" s="123"/>
      <c r="O499" s="123"/>
      <c r="P499" s="123"/>
      <c r="Q499" s="123"/>
      <c r="R499" s="123"/>
      <c r="S499" s="123"/>
      <c r="T499" s="123"/>
      <c r="U499" s="123"/>
      <c r="V499" s="123"/>
      <c r="W499" s="123"/>
      <c r="X499" s="123"/>
      <c r="Y499" s="123"/>
    </row>
    <row r="500" spans="1:25" ht="15.75" customHeight="1" x14ac:dyDescent="0.2">
      <c r="A500" s="182"/>
      <c r="B500" s="175"/>
      <c r="C500" s="176"/>
      <c r="D500" s="176"/>
      <c r="E500" s="176"/>
      <c r="F500" s="123"/>
      <c r="G500" s="123"/>
      <c r="H500" s="123"/>
      <c r="I500" s="123"/>
      <c r="J500" s="174"/>
      <c r="K500" s="182"/>
      <c r="L500" s="123"/>
      <c r="M500" s="123"/>
      <c r="N500" s="123"/>
      <c r="O500" s="123"/>
      <c r="P500" s="123"/>
      <c r="Q500" s="123"/>
      <c r="R500" s="123"/>
      <c r="S500" s="123"/>
      <c r="T500" s="123"/>
      <c r="U500" s="123"/>
      <c r="V500" s="123"/>
      <c r="W500" s="123"/>
      <c r="X500" s="123"/>
      <c r="Y500" s="123"/>
    </row>
    <row r="501" spans="1:25" ht="15.75" customHeight="1" x14ac:dyDescent="0.2">
      <c r="A501" s="182"/>
      <c r="B501" s="175"/>
      <c r="C501" s="176"/>
      <c r="D501" s="176"/>
      <c r="E501" s="176"/>
      <c r="F501" s="123"/>
      <c r="G501" s="123"/>
      <c r="H501" s="123"/>
      <c r="I501" s="123"/>
      <c r="J501" s="174"/>
      <c r="K501" s="182"/>
      <c r="L501" s="123"/>
      <c r="M501" s="123"/>
      <c r="N501" s="123"/>
      <c r="O501" s="123"/>
      <c r="P501" s="123"/>
      <c r="Q501" s="123"/>
      <c r="R501" s="123"/>
      <c r="S501" s="123"/>
      <c r="T501" s="123"/>
      <c r="U501" s="123"/>
      <c r="V501" s="123"/>
      <c r="W501" s="123"/>
      <c r="X501" s="123"/>
      <c r="Y501" s="123"/>
    </row>
    <row r="502" spans="1:25" ht="15.75" customHeight="1" x14ac:dyDescent="0.2">
      <c r="A502" s="182"/>
      <c r="B502" s="175"/>
      <c r="C502" s="176"/>
      <c r="D502" s="176"/>
      <c r="E502" s="176"/>
      <c r="F502" s="123"/>
      <c r="G502" s="123"/>
      <c r="H502" s="123"/>
      <c r="I502" s="123"/>
      <c r="J502" s="174"/>
      <c r="K502" s="182"/>
      <c r="L502" s="123"/>
      <c r="M502" s="123"/>
      <c r="N502" s="123"/>
      <c r="O502" s="123"/>
      <c r="P502" s="123"/>
      <c r="Q502" s="123"/>
      <c r="R502" s="123"/>
      <c r="S502" s="123"/>
      <c r="T502" s="123"/>
      <c r="U502" s="123"/>
      <c r="V502" s="123"/>
      <c r="W502" s="123"/>
      <c r="X502" s="123"/>
      <c r="Y502" s="123"/>
    </row>
    <row r="503" spans="1:25" ht="15.75" customHeight="1" x14ac:dyDescent="0.2">
      <c r="A503" s="182"/>
      <c r="B503" s="175"/>
      <c r="C503" s="176"/>
      <c r="D503" s="176"/>
      <c r="E503" s="176"/>
      <c r="F503" s="123"/>
      <c r="G503" s="123"/>
      <c r="H503" s="123"/>
      <c r="I503" s="123"/>
      <c r="J503" s="174"/>
      <c r="K503" s="182"/>
      <c r="L503" s="123"/>
      <c r="M503" s="123"/>
      <c r="N503" s="123"/>
      <c r="O503" s="123"/>
      <c r="P503" s="123"/>
      <c r="Q503" s="123"/>
      <c r="R503" s="123"/>
      <c r="S503" s="123"/>
      <c r="T503" s="123"/>
      <c r="U503" s="123"/>
      <c r="V503" s="123"/>
      <c r="W503" s="123"/>
      <c r="X503" s="123"/>
      <c r="Y503" s="123"/>
    </row>
    <row r="504" spans="1:25" ht="15.75" customHeight="1" x14ac:dyDescent="0.2">
      <c r="A504" s="182"/>
      <c r="B504" s="175"/>
      <c r="C504" s="176"/>
      <c r="D504" s="176"/>
      <c r="E504" s="176"/>
      <c r="F504" s="123"/>
      <c r="G504" s="123"/>
      <c r="H504" s="123"/>
      <c r="I504" s="123"/>
      <c r="J504" s="174"/>
      <c r="K504" s="182"/>
      <c r="L504" s="123"/>
      <c r="M504" s="123"/>
      <c r="N504" s="123"/>
      <c r="O504" s="123"/>
      <c r="P504" s="123"/>
      <c r="Q504" s="123"/>
      <c r="R504" s="123"/>
      <c r="S504" s="123"/>
      <c r="T504" s="123"/>
      <c r="U504" s="123"/>
      <c r="V504" s="123"/>
      <c r="W504" s="123"/>
      <c r="X504" s="123"/>
      <c r="Y504" s="123"/>
    </row>
    <row r="505" spans="1:25" ht="15.75" customHeight="1" x14ac:dyDescent="0.2">
      <c r="A505" s="182"/>
      <c r="B505" s="175"/>
      <c r="C505" s="176"/>
      <c r="D505" s="176"/>
      <c r="E505" s="176"/>
      <c r="F505" s="123"/>
      <c r="G505" s="123"/>
      <c r="H505" s="123"/>
      <c r="I505" s="123"/>
      <c r="J505" s="174"/>
      <c r="K505" s="182"/>
      <c r="L505" s="123"/>
      <c r="M505" s="123"/>
      <c r="N505" s="123"/>
      <c r="O505" s="123"/>
      <c r="P505" s="123"/>
      <c r="Q505" s="123"/>
      <c r="R505" s="123"/>
      <c r="S505" s="123"/>
      <c r="T505" s="123"/>
      <c r="U505" s="123"/>
      <c r="V505" s="123"/>
      <c r="W505" s="123"/>
      <c r="X505" s="123"/>
      <c r="Y505" s="123"/>
    </row>
    <row r="506" spans="1:25" ht="15.75" customHeight="1" x14ac:dyDescent="0.2">
      <c r="A506" s="182"/>
      <c r="B506" s="175"/>
      <c r="C506" s="176"/>
      <c r="D506" s="176"/>
      <c r="E506" s="176"/>
      <c r="F506" s="123"/>
      <c r="G506" s="123"/>
      <c r="H506" s="123"/>
      <c r="I506" s="123"/>
      <c r="J506" s="174"/>
      <c r="K506" s="182"/>
      <c r="L506" s="123"/>
      <c r="M506" s="123"/>
      <c r="N506" s="123"/>
      <c r="O506" s="123"/>
      <c r="P506" s="123"/>
      <c r="Q506" s="123"/>
      <c r="R506" s="123"/>
      <c r="S506" s="123"/>
      <c r="T506" s="123"/>
      <c r="U506" s="123"/>
      <c r="V506" s="123"/>
      <c r="W506" s="123"/>
      <c r="X506" s="123"/>
      <c r="Y506" s="123"/>
    </row>
    <row r="507" spans="1:25" ht="15.75" customHeight="1" x14ac:dyDescent="0.2">
      <c r="A507" s="182"/>
      <c r="B507" s="175"/>
      <c r="C507" s="176"/>
      <c r="D507" s="176"/>
      <c r="E507" s="176"/>
      <c r="F507" s="123"/>
      <c r="G507" s="123"/>
      <c r="H507" s="123"/>
      <c r="I507" s="123"/>
      <c r="J507" s="174"/>
      <c r="K507" s="182"/>
      <c r="L507" s="123"/>
      <c r="M507" s="123"/>
      <c r="N507" s="123"/>
      <c r="O507" s="123"/>
      <c r="P507" s="123"/>
      <c r="Q507" s="123"/>
      <c r="R507" s="123"/>
      <c r="S507" s="123"/>
      <c r="T507" s="123"/>
      <c r="U507" s="123"/>
      <c r="V507" s="123"/>
      <c r="W507" s="123"/>
      <c r="X507" s="123"/>
      <c r="Y507" s="123"/>
    </row>
    <row r="508" spans="1:25" ht="15.75" customHeight="1" x14ac:dyDescent="0.2">
      <c r="A508" s="182"/>
      <c r="B508" s="175"/>
      <c r="C508" s="176"/>
      <c r="D508" s="176"/>
      <c r="E508" s="176"/>
      <c r="F508" s="123"/>
      <c r="G508" s="123"/>
      <c r="H508" s="123"/>
      <c r="I508" s="123"/>
      <c r="J508" s="174"/>
      <c r="K508" s="182"/>
      <c r="L508" s="123"/>
      <c r="M508" s="123"/>
      <c r="N508" s="123"/>
      <c r="O508" s="123"/>
      <c r="P508" s="123"/>
      <c r="Q508" s="123"/>
      <c r="R508" s="123"/>
      <c r="S508" s="123"/>
      <c r="T508" s="123"/>
      <c r="U508" s="123"/>
      <c r="V508" s="123"/>
      <c r="W508" s="123"/>
      <c r="X508" s="123"/>
      <c r="Y508" s="123"/>
    </row>
    <row r="509" spans="1:25" ht="15.75" customHeight="1" x14ac:dyDescent="0.2">
      <c r="A509" s="182"/>
      <c r="B509" s="175"/>
      <c r="C509" s="176"/>
      <c r="D509" s="176"/>
      <c r="E509" s="176"/>
      <c r="F509" s="123"/>
      <c r="G509" s="123"/>
      <c r="H509" s="123"/>
      <c r="I509" s="123"/>
      <c r="J509" s="174"/>
      <c r="K509" s="182"/>
      <c r="L509" s="123"/>
      <c r="M509" s="123"/>
      <c r="N509" s="123"/>
      <c r="O509" s="123"/>
      <c r="P509" s="123"/>
      <c r="Q509" s="123"/>
      <c r="R509" s="123"/>
      <c r="S509" s="123"/>
      <c r="T509" s="123"/>
      <c r="U509" s="123"/>
      <c r="V509" s="123"/>
      <c r="W509" s="123"/>
      <c r="X509" s="123"/>
      <c r="Y509" s="123"/>
    </row>
    <row r="510" spans="1:25" ht="15.75" customHeight="1" x14ac:dyDescent="0.2">
      <c r="A510" s="182"/>
      <c r="B510" s="175"/>
      <c r="C510" s="176"/>
      <c r="D510" s="176"/>
      <c r="E510" s="176"/>
      <c r="F510" s="123"/>
      <c r="G510" s="123"/>
      <c r="H510" s="123"/>
      <c r="I510" s="123"/>
      <c r="J510" s="174"/>
      <c r="K510" s="182"/>
      <c r="L510" s="123"/>
      <c r="M510" s="123"/>
      <c r="N510" s="123"/>
      <c r="O510" s="123"/>
      <c r="P510" s="123"/>
      <c r="Q510" s="123"/>
      <c r="R510" s="123"/>
      <c r="S510" s="123"/>
      <c r="T510" s="123"/>
      <c r="U510" s="123"/>
      <c r="V510" s="123"/>
      <c r="W510" s="123"/>
      <c r="X510" s="123"/>
      <c r="Y510" s="123"/>
    </row>
    <row r="511" spans="1:25" ht="15.75" customHeight="1" x14ac:dyDescent="0.2">
      <c r="A511" s="182"/>
      <c r="B511" s="175"/>
      <c r="C511" s="176"/>
      <c r="D511" s="176"/>
      <c r="E511" s="176"/>
      <c r="F511" s="123"/>
      <c r="G511" s="123"/>
      <c r="H511" s="123"/>
      <c r="I511" s="123"/>
      <c r="J511" s="174"/>
      <c r="K511" s="182"/>
      <c r="L511" s="123"/>
      <c r="M511" s="123"/>
      <c r="N511" s="123"/>
      <c r="O511" s="123"/>
      <c r="P511" s="123"/>
      <c r="Q511" s="123"/>
      <c r="R511" s="123"/>
      <c r="S511" s="123"/>
      <c r="T511" s="123"/>
      <c r="U511" s="123"/>
      <c r="V511" s="123"/>
      <c r="W511" s="123"/>
      <c r="X511" s="123"/>
      <c r="Y511" s="123"/>
    </row>
    <row r="512" spans="1:25" ht="15.75" customHeight="1" x14ac:dyDescent="0.2">
      <c r="A512" s="182"/>
      <c r="B512" s="175"/>
      <c r="C512" s="176"/>
      <c r="D512" s="176"/>
      <c r="E512" s="176"/>
      <c r="F512" s="123"/>
      <c r="G512" s="123"/>
      <c r="H512" s="123"/>
      <c r="I512" s="123"/>
      <c r="J512" s="174"/>
      <c r="K512" s="182"/>
      <c r="L512" s="123"/>
      <c r="M512" s="123"/>
      <c r="N512" s="123"/>
      <c r="O512" s="123"/>
      <c r="P512" s="123"/>
      <c r="Q512" s="123"/>
      <c r="R512" s="123"/>
      <c r="S512" s="123"/>
      <c r="T512" s="123"/>
      <c r="U512" s="123"/>
      <c r="V512" s="123"/>
      <c r="W512" s="123"/>
      <c r="X512" s="123"/>
      <c r="Y512" s="123"/>
    </row>
    <row r="513" spans="1:25" ht="15.75" customHeight="1" x14ac:dyDescent="0.2">
      <c r="A513" s="182"/>
      <c r="B513" s="175"/>
      <c r="C513" s="176"/>
      <c r="D513" s="176"/>
      <c r="E513" s="176"/>
      <c r="F513" s="123"/>
      <c r="G513" s="123"/>
      <c r="H513" s="123"/>
      <c r="I513" s="123"/>
      <c r="J513" s="174"/>
      <c r="K513" s="182"/>
      <c r="L513" s="123"/>
      <c r="M513" s="123"/>
      <c r="N513" s="123"/>
      <c r="O513" s="123"/>
      <c r="P513" s="123"/>
      <c r="Q513" s="123"/>
      <c r="R513" s="123"/>
      <c r="S513" s="123"/>
      <c r="T513" s="123"/>
      <c r="U513" s="123"/>
      <c r="V513" s="123"/>
      <c r="W513" s="123"/>
      <c r="X513" s="123"/>
      <c r="Y513" s="123"/>
    </row>
    <row r="514" spans="1:25" ht="15.75" customHeight="1" x14ac:dyDescent="0.2">
      <c r="A514" s="182"/>
      <c r="B514" s="175"/>
      <c r="C514" s="176"/>
      <c r="D514" s="176"/>
      <c r="E514" s="176"/>
      <c r="F514" s="123"/>
      <c r="G514" s="123"/>
      <c r="H514" s="123"/>
      <c r="I514" s="123"/>
      <c r="J514" s="174"/>
      <c r="K514" s="182"/>
      <c r="L514" s="123"/>
      <c r="M514" s="123"/>
      <c r="N514" s="123"/>
      <c r="O514" s="123"/>
      <c r="P514" s="123"/>
      <c r="Q514" s="123"/>
      <c r="R514" s="123"/>
      <c r="S514" s="123"/>
      <c r="T514" s="123"/>
      <c r="U514" s="123"/>
      <c r="V514" s="123"/>
      <c r="W514" s="123"/>
      <c r="X514" s="123"/>
      <c r="Y514" s="123"/>
    </row>
    <row r="515" spans="1:25" ht="15.75" customHeight="1" x14ac:dyDescent="0.2">
      <c r="A515" s="182"/>
      <c r="B515" s="175"/>
      <c r="C515" s="176"/>
      <c r="D515" s="176"/>
      <c r="E515" s="176"/>
      <c r="F515" s="123"/>
      <c r="G515" s="123"/>
      <c r="H515" s="123"/>
      <c r="I515" s="123"/>
      <c r="J515" s="174"/>
      <c r="K515" s="182"/>
      <c r="L515" s="123"/>
      <c r="M515" s="123"/>
      <c r="N515" s="123"/>
      <c r="O515" s="123"/>
      <c r="P515" s="123"/>
      <c r="Q515" s="123"/>
      <c r="R515" s="123"/>
      <c r="S515" s="123"/>
      <c r="T515" s="123"/>
      <c r="U515" s="123"/>
      <c r="V515" s="123"/>
      <c r="W515" s="123"/>
      <c r="X515" s="123"/>
      <c r="Y515" s="123"/>
    </row>
    <row r="516" spans="1:25" ht="15.75" customHeight="1" x14ac:dyDescent="0.2">
      <c r="A516" s="182"/>
      <c r="B516" s="175"/>
      <c r="C516" s="176"/>
      <c r="D516" s="176"/>
      <c r="E516" s="176"/>
      <c r="F516" s="123"/>
      <c r="G516" s="123"/>
      <c r="H516" s="123"/>
      <c r="I516" s="123"/>
      <c r="J516" s="174"/>
      <c r="K516" s="182"/>
      <c r="L516" s="123"/>
      <c r="M516" s="123"/>
      <c r="N516" s="123"/>
      <c r="O516" s="123"/>
      <c r="P516" s="123"/>
      <c r="Q516" s="123"/>
      <c r="R516" s="123"/>
      <c r="S516" s="123"/>
      <c r="T516" s="123"/>
      <c r="U516" s="123"/>
      <c r="V516" s="123"/>
      <c r="W516" s="123"/>
      <c r="X516" s="123"/>
      <c r="Y516" s="123"/>
    </row>
    <row r="517" spans="1:25" ht="15.75" customHeight="1" x14ac:dyDescent="0.2">
      <c r="A517" s="182"/>
      <c r="B517" s="175"/>
      <c r="C517" s="176"/>
      <c r="D517" s="176"/>
      <c r="E517" s="176"/>
      <c r="F517" s="123"/>
      <c r="G517" s="123"/>
      <c r="H517" s="123"/>
      <c r="I517" s="123"/>
      <c r="J517" s="174"/>
      <c r="K517" s="182"/>
      <c r="L517" s="123"/>
      <c r="M517" s="123"/>
      <c r="N517" s="123"/>
      <c r="O517" s="123"/>
      <c r="P517" s="123"/>
      <c r="Q517" s="123"/>
      <c r="R517" s="123"/>
      <c r="S517" s="123"/>
      <c r="T517" s="123"/>
      <c r="U517" s="123"/>
      <c r="V517" s="123"/>
      <c r="W517" s="123"/>
      <c r="X517" s="123"/>
      <c r="Y517" s="123"/>
    </row>
    <row r="518" spans="1:25" ht="15.75" customHeight="1" x14ac:dyDescent="0.2">
      <c r="A518" s="182"/>
      <c r="B518" s="175"/>
      <c r="C518" s="176"/>
      <c r="D518" s="176"/>
      <c r="E518" s="176"/>
      <c r="F518" s="123"/>
      <c r="G518" s="123"/>
      <c r="H518" s="123"/>
      <c r="I518" s="123"/>
      <c r="J518" s="174"/>
      <c r="K518" s="182"/>
      <c r="L518" s="123"/>
      <c r="M518" s="123"/>
      <c r="N518" s="123"/>
      <c r="O518" s="123"/>
      <c r="P518" s="123"/>
      <c r="Q518" s="123"/>
      <c r="R518" s="123"/>
      <c r="S518" s="123"/>
      <c r="T518" s="123"/>
      <c r="U518" s="123"/>
      <c r="V518" s="123"/>
      <c r="W518" s="123"/>
      <c r="X518" s="123"/>
      <c r="Y518" s="123"/>
    </row>
    <row r="519" spans="1:25" ht="15.75" customHeight="1" x14ac:dyDescent="0.2">
      <c r="A519" s="182"/>
      <c r="B519" s="175"/>
      <c r="C519" s="176"/>
      <c r="D519" s="176"/>
      <c r="E519" s="176"/>
      <c r="F519" s="123"/>
      <c r="G519" s="123"/>
      <c r="H519" s="123"/>
      <c r="I519" s="123"/>
      <c r="J519" s="174"/>
      <c r="K519" s="182"/>
      <c r="L519" s="123"/>
      <c r="M519" s="123"/>
      <c r="N519" s="123"/>
      <c r="O519" s="123"/>
      <c r="P519" s="123"/>
      <c r="Q519" s="123"/>
      <c r="R519" s="123"/>
      <c r="S519" s="123"/>
      <c r="T519" s="123"/>
      <c r="U519" s="123"/>
      <c r="V519" s="123"/>
      <c r="W519" s="123"/>
      <c r="X519" s="123"/>
      <c r="Y519" s="123"/>
    </row>
    <row r="520" spans="1:25" ht="15.75" customHeight="1" x14ac:dyDescent="0.2">
      <c r="A520" s="182"/>
      <c r="B520" s="175"/>
      <c r="C520" s="176"/>
      <c r="D520" s="176"/>
      <c r="E520" s="176"/>
      <c r="F520" s="123"/>
      <c r="G520" s="123"/>
      <c r="H520" s="123"/>
      <c r="I520" s="123"/>
      <c r="J520" s="174"/>
      <c r="K520" s="182"/>
      <c r="L520" s="123"/>
      <c r="M520" s="123"/>
      <c r="N520" s="123"/>
      <c r="O520" s="123"/>
      <c r="P520" s="123"/>
      <c r="Q520" s="123"/>
      <c r="R520" s="123"/>
      <c r="S520" s="123"/>
      <c r="T520" s="123"/>
      <c r="U520" s="123"/>
      <c r="V520" s="123"/>
      <c r="W520" s="123"/>
      <c r="X520" s="123"/>
      <c r="Y520" s="123"/>
    </row>
    <row r="521" spans="1:25" ht="15.75" customHeight="1" x14ac:dyDescent="0.2">
      <c r="A521" s="182"/>
      <c r="B521" s="175"/>
      <c r="C521" s="176"/>
      <c r="D521" s="176"/>
      <c r="E521" s="176"/>
      <c r="F521" s="123"/>
      <c r="G521" s="123"/>
      <c r="H521" s="123"/>
      <c r="I521" s="123"/>
      <c r="J521" s="174"/>
      <c r="K521" s="182"/>
      <c r="L521" s="123"/>
      <c r="M521" s="123"/>
      <c r="N521" s="123"/>
      <c r="O521" s="123"/>
      <c r="P521" s="123"/>
      <c r="Q521" s="123"/>
      <c r="R521" s="123"/>
      <c r="S521" s="123"/>
      <c r="T521" s="123"/>
      <c r="U521" s="123"/>
      <c r="V521" s="123"/>
      <c r="W521" s="123"/>
      <c r="X521" s="123"/>
      <c r="Y521" s="123"/>
    </row>
    <row r="522" spans="1:25" ht="15.75" customHeight="1" x14ac:dyDescent="0.2">
      <c r="A522" s="182"/>
      <c r="B522" s="175"/>
      <c r="C522" s="176"/>
      <c r="D522" s="176"/>
      <c r="E522" s="176"/>
      <c r="F522" s="123"/>
      <c r="G522" s="123"/>
      <c r="H522" s="123"/>
      <c r="I522" s="123"/>
      <c r="J522" s="174"/>
      <c r="K522" s="182"/>
      <c r="L522" s="123"/>
      <c r="M522" s="123"/>
      <c r="N522" s="123"/>
      <c r="O522" s="123"/>
      <c r="P522" s="123"/>
      <c r="Q522" s="123"/>
      <c r="R522" s="123"/>
      <c r="S522" s="123"/>
      <c r="T522" s="123"/>
      <c r="U522" s="123"/>
      <c r="V522" s="123"/>
      <c r="W522" s="123"/>
      <c r="X522" s="123"/>
      <c r="Y522" s="123"/>
    </row>
    <row r="523" spans="1:25" ht="15.75" customHeight="1" x14ac:dyDescent="0.2">
      <c r="A523" s="182"/>
      <c r="B523" s="175"/>
      <c r="C523" s="176"/>
      <c r="D523" s="176"/>
      <c r="E523" s="176"/>
      <c r="F523" s="123"/>
      <c r="G523" s="123"/>
      <c r="H523" s="123"/>
      <c r="I523" s="123"/>
      <c r="J523" s="174"/>
      <c r="K523" s="182"/>
      <c r="L523" s="123"/>
      <c r="M523" s="123"/>
      <c r="N523" s="123"/>
      <c r="O523" s="123"/>
      <c r="P523" s="123"/>
      <c r="Q523" s="123"/>
      <c r="R523" s="123"/>
      <c r="S523" s="123"/>
      <c r="T523" s="123"/>
      <c r="U523" s="123"/>
      <c r="V523" s="123"/>
      <c r="W523" s="123"/>
      <c r="X523" s="123"/>
      <c r="Y523" s="123"/>
    </row>
    <row r="524" spans="1:25" ht="15.75" customHeight="1" x14ac:dyDescent="0.2">
      <c r="A524" s="182"/>
      <c r="B524" s="175"/>
      <c r="C524" s="176"/>
      <c r="D524" s="176"/>
      <c r="E524" s="176"/>
      <c r="F524" s="123"/>
      <c r="G524" s="123"/>
      <c r="H524" s="123"/>
      <c r="I524" s="123"/>
      <c r="J524" s="174"/>
      <c r="K524" s="182"/>
      <c r="L524" s="123"/>
      <c r="M524" s="123"/>
      <c r="N524" s="123"/>
      <c r="O524" s="123"/>
      <c r="P524" s="123"/>
      <c r="Q524" s="123"/>
      <c r="R524" s="123"/>
      <c r="S524" s="123"/>
      <c r="T524" s="123"/>
      <c r="U524" s="123"/>
      <c r="V524" s="123"/>
      <c r="W524" s="123"/>
      <c r="X524" s="123"/>
      <c r="Y524" s="123"/>
    </row>
    <row r="525" spans="1:25" ht="15.75" customHeight="1" x14ac:dyDescent="0.2">
      <c r="A525" s="182"/>
      <c r="B525" s="175"/>
      <c r="C525" s="176"/>
      <c r="D525" s="176"/>
      <c r="E525" s="176"/>
      <c r="F525" s="123"/>
      <c r="G525" s="123"/>
      <c r="H525" s="123"/>
      <c r="I525" s="123"/>
      <c r="J525" s="174"/>
      <c r="K525" s="182"/>
      <c r="L525" s="123"/>
      <c r="M525" s="123"/>
      <c r="N525" s="123"/>
      <c r="O525" s="123"/>
      <c r="P525" s="123"/>
      <c r="Q525" s="123"/>
      <c r="R525" s="123"/>
      <c r="S525" s="123"/>
      <c r="T525" s="123"/>
      <c r="U525" s="123"/>
      <c r="V525" s="123"/>
      <c r="W525" s="123"/>
      <c r="X525" s="123"/>
      <c r="Y525" s="123"/>
    </row>
    <row r="526" spans="1:25" ht="15.75" customHeight="1" x14ac:dyDescent="0.2">
      <c r="A526" s="182"/>
      <c r="B526" s="175"/>
      <c r="C526" s="176"/>
      <c r="D526" s="176"/>
      <c r="E526" s="176"/>
      <c r="F526" s="123"/>
      <c r="G526" s="123"/>
      <c r="H526" s="123"/>
      <c r="I526" s="123"/>
      <c r="J526" s="174"/>
      <c r="K526" s="182"/>
      <c r="L526" s="123"/>
      <c r="M526" s="123"/>
      <c r="N526" s="123"/>
      <c r="O526" s="123"/>
      <c r="P526" s="123"/>
      <c r="Q526" s="123"/>
      <c r="R526" s="123"/>
      <c r="S526" s="123"/>
      <c r="T526" s="123"/>
      <c r="U526" s="123"/>
      <c r="V526" s="123"/>
      <c r="W526" s="123"/>
      <c r="X526" s="123"/>
      <c r="Y526" s="123"/>
    </row>
    <row r="527" spans="1:25" ht="15.75" customHeight="1" x14ac:dyDescent="0.2">
      <c r="A527" s="182"/>
      <c r="B527" s="175"/>
      <c r="C527" s="176"/>
      <c r="D527" s="176"/>
      <c r="E527" s="176"/>
      <c r="F527" s="123"/>
      <c r="G527" s="123"/>
      <c r="H527" s="123"/>
      <c r="I527" s="123"/>
      <c r="J527" s="174"/>
      <c r="K527" s="182"/>
      <c r="L527" s="123"/>
      <c r="M527" s="123"/>
      <c r="N527" s="123"/>
      <c r="O527" s="123"/>
      <c r="P527" s="123"/>
      <c r="Q527" s="123"/>
      <c r="R527" s="123"/>
      <c r="S527" s="123"/>
      <c r="T527" s="123"/>
      <c r="U527" s="123"/>
      <c r="V527" s="123"/>
      <c r="W527" s="123"/>
      <c r="X527" s="123"/>
      <c r="Y527" s="123"/>
    </row>
    <row r="528" spans="1:25" ht="15.75" customHeight="1" x14ac:dyDescent="0.2">
      <c r="A528" s="182"/>
      <c r="B528" s="175"/>
      <c r="C528" s="176"/>
      <c r="D528" s="176"/>
      <c r="E528" s="176"/>
      <c r="F528" s="123"/>
      <c r="G528" s="123"/>
      <c r="H528" s="123"/>
      <c r="I528" s="123"/>
      <c r="J528" s="174"/>
      <c r="K528" s="182"/>
      <c r="L528" s="123"/>
      <c r="M528" s="123"/>
      <c r="N528" s="123"/>
      <c r="O528" s="123"/>
      <c r="P528" s="123"/>
      <c r="Q528" s="123"/>
      <c r="R528" s="123"/>
      <c r="S528" s="123"/>
      <c r="T528" s="123"/>
      <c r="U528" s="123"/>
      <c r="V528" s="123"/>
      <c r="W528" s="123"/>
      <c r="X528" s="123"/>
      <c r="Y528" s="123"/>
    </row>
    <row r="529" spans="1:25" ht="15.75" customHeight="1" x14ac:dyDescent="0.2">
      <c r="A529" s="182"/>
      <c r="B529" s="175"/>
      <c r="C529" s="176"/>
      <c r="D529" s="176"/>
      <c r="E529" s="176"/>
      <c r="F529" s="123"/>
      <c r="G529" s="123"/>
      <c r="H529" s="123"/>
      <c r="I529" s="123"/>
      <c r="J529" s="174"/>
      <c r="K529" s="182"/>
      <c r="L529" s="123"/>
      <c r="M529" s="123"/>
      <c r="N529" s="123"/>
      <c r="O529" s="123"/>
      <c r="P529" s="123"/>
      <c r="Q529" s="123"/>
      <c r="R529" s="123"/>
      <c r="S529" s="123"/>
      <c r="T529" s="123"/>
      <c r="U529" s="123"/>
      <c r="V529" s="123"/>
      <c r="W529" s="123"/>
      <c r="X529" s="123"/>
      <c r="Y529" s="123"/>
    </row>
    <row r="530" spans="1:25" ht="15.75" customHeight="1" x14ac:dyDescent="0.2">
      <c r="A530" s="182"/>
      <c r="B530" s="175"/>
      <c r="C530" s="176"/>
      <c r="D530" s="176"/>
      <c r="E530" s="176"/>
      <c r="F530" s="123"/>
      <c r="G530" s="123"/>
      <c r="H530" s="123"/>
      <c r="I530" s="123"/>
      <c r="J530" s="174"/>
      <c r="K530" s="182"/>
      <c r="L530" s="123"/>
      <c r="M530" s="123"/>
      <c r="N530" s="123"/>
      <c r="O530" s="123"/>
      <c r="P530" s="123"/>
      <c r="Q530" s="123"/>
      <c r="R530" s="123"/>
      <c r="S530" s="123"/>
      <c r="T530" s="123"/>
      <c r="U530" s="123"/>
      <c r="V530" s="123"/>
      <c r="W530" s="123"/>
      <c r="X530" s="123"/>
      <c r="Y530" s="123"/>
    </row>
    <row r="531" spans="1:25" ht="15.75" customHeight="1" x14ac:dyDescent="0.2">
      <c r="A531" s="182"/>
      <c r="B531" s="175"/>
      <c r="C531" s="176"/>
      <c r="D531" s="176"/>
      <c r="E531" s="176"/>
      <c r="F531" s="123"/>
      <c r="G531" s="123"/>
      <c r="H531" s="123"/>
      <c r="I531" s="123"/>
      <c r="J531" s="174"/>
      <c r="K531" s="182"/>
      <c r="L531" s="123"/>
      <c r="M531" s="123"/>
      <c r="N531" s="123"/>
      <c r="O531" s="123"/>
      <c r="P531" s="123"/>
      <c r="Q531" s="123"/>
      <c r="R531" s="123"/>
      <c r="S531" s="123"/>
      <c r="T531" s="123"/>
      <c r="U531" s="123"/>
      <c r="V531" s="123"/>
      <c r="W531" s="123"/>
      <c r="X531" s="123"/>
      <c r="Y531" s="123"/>
    </row>
    <row r="532" spans="1:25" ht="15.75" customHeight="1" x14ac:dyDescent="0.2">
      <c r="A532" s="182"/>
      <c r="B532" s="175"/>
      <c r="C532" s="176"/>
      <c r="D532" s="176"/>
      <c r="E532" s="176"/>
      <c r="F532" s="123"/>
      <c r="G532" s="123"/>
      <c r="H532" s="123"/>
      <c r="I532" s="123"/>
      <c r="J532" s="174"/>
      <c r="K532" s="182"/>
      <c r="L532" s="123"/>
      <c r="M532" s="123"/>
      <c r="N532" s="123"/>
      <c r="O532" s="123"/>
      <c r="P532" s="123"/>
      <c r="Q532" s="123"/>
      <c r="R532" s="123"/>
      <c r="S532" s="123"/>
      <c r="T532" s="123"/>
      <c r="U532" s="123"/>
      <c r="V532" s="123"/>
      <c r="W532" s="123"/>
      <c r="X532" s="123"/>
      <c r="Y532" s="123"/>
    </row>
    <row r="533" spans="1:25" ht="15.75" customHeight="1" x14ac:dyDescent="0.2">
      <c r="A533" s="182"/>
      <c r="B533" s="175"/>
      <c r="C533" s="176"/>
      <c r="D533" s="176"/>
      <c r="E533" s="176"/>
      <c r="F533" s="123"/>
      <c r="G533" s="123"/>
      <c r="H533" s="123"/>
      <c r="I533" s="123"/>
      <c r="J533" s="174"/>
      <c r="K533" s="182"/>
      <c r="L533" s="123"/>
      <c r="M533" s="123"/>
      <c r="N533" s="123"/>
      <c r="O533" s="123"/>
      <c r="P533" s="123"/>
      <c r="Q533" s="123"/>
      <c r="R533" s="123"/>
      <c r="S533" s="123"/>
      <c r="T533" s="123"/>
      <c r="U533" s="123"/>
      <c r="V533" s="123"/>
      <c r="W533" s="123"/>
      <c r="X533" s="123"/>
      <c r="Y533" s="123"/>
    </row>
    <row r="534" spans="1:25" ht="15.75" customHeight="1" x14ac:dyDescent="0.2">
      <c r="A534" s="182"/>
      <c r="B534" s="175"/>
      <c r="C534" s="176"/>
      <c r="D534" s="176"/>
      <c r="E534" s="176"/>
      <c r="F534" s="123"/>
      <c r="G534" s="123"/>
      <c r="H534" s="123"/>
      <c r="I534" s="123"/>
      <c r="J534" s="174"/>
      <c r="K534" s="182"/>
      <c r="L534" s="123"/>
      <c r="M534" s="123"/>
      <c r="N534" s="123"/>
      <c r="O534" s="123"/>
      <c r="P534" s="123"/>
      <c r="Q534" s="123"/>
      <c r="R534" s="123"/>
      <c r="S534" s="123"/>
      <c r="T534" s="123"/>
      <c r="U534" s="123"/>
      <c r="V534" s="123"/>
      <c r="W534" s="123"/>
      <c r="X534" s="123"/>
      <c r="Y534" s="123"/>
    </row>
    <row r="535" spans="1:25" ht="15.75" customHeight="1" x14ac:dyDescent="0.2">
      <c r="A535" s="182"/>
      <c r="B535" s="175"/>
      <c r="C535" s="176"/>
      <c r="D535" s="176"/>
      <c r="E535" s="176"/>
      <c r="F535" s="123"/>
      <c r="G535" s="123"/>
      <c r="H535" s="123"/>
      <c r="I535" s="123"/>
      <c r="J535" s="174"/>
      <c r="K535" s="182"/>
      <c r="L535" s="123"/>
      <c r="M535" s="123"/>
      <c r="N535" s="123"/>
      <c r="O535" s="123"/>
      <c r="P535" s="123"/>
      <c r="Q535" s="123"/>
      <c r="R535" s="123"/>
      <c r="S535" s="123"/>
      <c r="T535" s="123"/>
      <c r="U535" s="123"/>
      <c r="V535" s="123"/>
      <c r="W535" s="123"/>
      <c r="X535" s="123"/>
      <c r="Y535" s="123"/>
    </row>
    <row r="536" spans="1:25" ht="15.75" customHeight="1" x14ac:dyDescent="0.2">
      <c r="A536" s="182"/>
      <c r="B536" s="175"/>
      <c r="C536" s="176"/>
      <c r="D536" s="176"/>
      <c r="E536" s="176"/>
      <c r="F536" s="123"/>
      <c r="G536" s="123"/>
      <c r="H536" s="123"/>
      <c r="I536" s="123"/>
      <c r="J536" s="174"/>
      <c r="K536" s="182"/>
      <c r="L536" s="123"/>
      <c r="M536" s="123"/>
      <c r="N536" s="123"/>
      <c r="O536" s="123"/>
      <c r="P536" s="123"/>
      <c r="Q536" s="123"/>
      <c r="R536" s="123"/>
      <c r="S536" s="123"/>
      <c r="T536" s="123"/>
      <c r="U536" s="123"/>
      <c r="V536" s="123"/>
      <c r="W536" s="123"/>
      <c r="X536" s="123"/>
      <c r="Y536" s="123"/>
    </row>
    <row r="537" spans="1:25" ht="15.75" customHeight="1" x14ac:dyDescent="0.2">
      <c r="A537" s="182"/>
      <c r="B537" s="175"/>
      <c r="C537" s="176"/>
      <c r="D537" s="176"/>
      <c r="E537" s="176"/>
      <c r="F537" s="123"/>
      <c r="G537" s="123"/>
      <c r="H537" s="123"/>
      <c r="I537" s="123"/>
      <c r="J537" s="174"/>
      <c r="K537" s="182"/>
      <c r="L537" s="123"/>
      <c r="M537" s="123"/>
      <c r="N537" s="123"/>
      <c r="O537" s="123"/>
      <c r="P537" s="123"/>
      <c r="Q537" s="123"/>
      <c r="R537" s="123"/>
      <c r="S537" s="123"/>
      <c r="T537" s="123"/>
      <c r="U537" s="123"/>
      <c r="V537" s="123"/>
      <c r="W537" s="123"/>
      <c r="X537" s="123"/>
      <c r="Y537" s="123"/>
    </row>
    <row r="538" spans="1:25" ht="15.75" customHeight="1" x14ac:dyDescent="0.2">
      <c r="A538" s="182"/>
      <c r="B538" s="175"/>
      <c r="C538" s="176"/>
      <c r="D538" s="176"/>
      <c r="E538" s="176"/>
      <c r="F538" s="123"/>
      <c r="G538" s="123"/>
      <c r="H538" s="123"/>
      <c r="I538" s="123"/>
      <c r="J538" s="174"/>
      <c r="K538" s="182"/>
      <c r="L538" s="123"/>
      <c r="M538" s="123"/>
      <c r="N538" s="123"/>
      <c r="O538" s="123"/>
      <c r="P538" s="123"/>
      <c r="Q538" s="123"/>
      <c r="R538" s="123"/>
      <c r="S538" s="123"/>
      <c r="T538" s="123"/>
      <c r="U538" s="123"/>
      <c r="V538" s="123"/>
      <c r="W538" s="123"/>
      <c r="X538" s="123"/>
      <c r="Y538" s="123"/>
    </row>
    <row r="539" spans="1:25" ht="15.75" customHeight="1" x14ac:dyDescent="0.2">
      <c r="A539" s="182"/>
      <c r="B539" s="175"/>
      <c r="C539" s="176"/>
      <c r="D539" s="176"/>
      <c r="E539" s="176"/>
      <c r="F539" s="123"/>
      <c r="G539" s="123"/>
      <c r="H539" s="123"/>
      <c r="I539" s="123"/>
      <c r="J539" s="174"/>
      <c r="K539" s="182"/>
      <c r="L539" s="123"/>
      <c r="M539" s="123"/>
      <c r="N539" s="123"/>
      <c r="O539" s="123"/>
      <c r="P539" s="123"/>
      <c r="Q539" s="123"/>
      <c r="R539" s="123"/>
      <c r="S539" s="123"/>
      <c r="T539" s="123"/>
      <c r="U539" s="123"/>
      <c r="V539" s="123"/>
      <c r="W539" s="123"/>
      <c r="X539" s="123"/>
      <c r="Y539" s="123"/>
    </row>
    <row r="540" spans="1:25" ht="15.75" customHeight="1" x14ac:dyDescent="0.2">
      <c r="A540" s="182"/>
      <c r="B540" s="175"/>
      <c r="C540" s="176"/>
      <c r="D540" s="176"/>
      <c r="E540" s="176"/>
      <c r="F540" s="123"/>
      <c r="G540" s="123"/>
      <c r="H540" s="123"/>
      <c r="I540" s="123"/>
      <c r="J540" s="174"/>
      <c r="K540" s="182"/>
      <c r="L540" s="123"/>
      <c r="M540" s="123"/>
      <c r="N540" s="123"/>
      <c r="O540" s="123"/>
      <c r="P540" s="123"/>
      <c r="Q540" s="123"/>
      <c r="R540" s="123"/>
      <c r="S540" s="123"/>
      <c r="T540" s="123"/>
      <c r="U540" s="123"/>
      <c r="V540" s="123"/>
      <c r="W540" s="123"/>
      <c r="X540" s="123"/>
      <c r="Y540" s="123"/>
    </row>
    <row r="541" spans="1:25" ht="15.75" customHeight="1" x14ac:dyDescent="0.2">
      <c r="A541" s="182"/>
      <c r="B541" s="175"/>
      <c r="C541" s="176"/>
      <c r="D541" s="176"/>
      <c r="E541" s="176"/>
      <c r="F541" s="123"/>
      <c r="G541" s="123"/>
      <c r="H541" s="123"/>
      <c r="I541" s="123"/>
      <c r="J541" s="174"/>
      <c r="K541" s="182"/>
      <c r="L541" s="123"/>
      <c r="M541" s="123"/>
      <c r="N541" s="123"/>
      <c r="O541" s="123"/>
      <c r="P541" s="123"/>
      <c r="Q541" s="123"/>
      <c r="R541" s="123"/>
      <c r="S541" s="123"/>
      <c r="T541" s="123"/>
      <c r="U541" s="123"/>
      <c r="V541" s="123"/>
      <c r="W541" s="123"/>
      <c r="X541" s="123"/>
      <c r="Y541" s="123"/>
    </row>
    <row r="542" spans="1:25" ht="15.75" customHeight="1" x14ac:dyDescent="0.2">
      <c r="A542" s="182"/>
      <c r="B542" s="175"/>
      <c r="C542" s="176"/>
      <c r="D542" s="176"/>
      <c r="E542" s="176"/>
      <c r="F542" s="123"/>
      <c r="G542" s="123"/>
      <c r="H542" s="123"/>
      <c r="I542" s="123"/>
      <c r="J542" s="174"/>
      <c r="K542" s="182"/>
      <c r="L542" s="123"/>
      <c r="M542" s="123"/>
      <c r="N542" s="123"/>
      <c r="O542" s="123"/>
      <c r="P542" s="123"/>
      <c r="Q542" s="123"/>
      <c r="R542" s="123"/>
      <c r="S542" s="123"/>
      <c r="T542" s="123"/>
      <c r="U542" s="123"/>
      <c r="V542" s="123"/>
      <c r="W542" s="123"/>
      <c r="X542" s="123"/>
      <c r="Y542" s="123"/>
    </row>
    <row r="543" spans="1:25" ht="15.75" customHeight="1" x14ac:dyDescent="0.2">
      <c r="A543" s="182"/>
      <c r="B543" s="175"/>
      <c r="C543" s="176"/>
      <c r="D543" s="176"/>
      <c r="E543" s="176"/>
      <c r="F543" s="123"/>
      <c r="G543" s="123"/>
      <c r="H543" s="123"/>
      <c r="I543" s="123"/>
      <c r="J543" s="174"/>
      <c r="K543" s="182"/>
      <c r="L543" s="123"/>
      <c r="M543" s="123"/>
      <c r="N543" s="123"/>
      <c r="O543" s="123"/>
      <c r="P543" s="123"/>
      <c r="Q543" s="123"/>
      <c r="R543" s="123"/>
      <c r="S543" s="123"/>
      <c r="T543" s="123"/>
      <c r="U543" s="123"/>
      <c r="V543" s="123"/>
      <c r="W543" s="123"/>
      <c r="X543" s="123"/>
      <c r="Y543" s="123"/>
    </row>
    <row r="544" spans="1:25" ht="15.75" customHeight="1" x14ac:dyDescent="0.2">
      <c r="A544" s="182"/>
      <c r="B544" s="175"/>
      <c r="C544" s="176"/>
      <c r="D544" s="176"/>
      <c r="E544" s="176"/>
      <c r="F544" s="123"/>
      <c r="G544" s="123"/>
      <c r="H544" s="123"/>
      <c r="I544" s="123"/>
      <c r="J544" s="174"/>
      <c r="K544" s="182"/>
      <c r="L544" s="123"/>
      <c r="M544" s="123"/>
      <c r="N544" s="123"/>
      <c r="O544" s="123"/>
      <c r="P544" s="123"/>
      <c r="Q544" s="123"/>
      <c r="R544" s="123"/>
      <c r="S544" s="123"/>
      <c r="T544" s="123"/>
      <c r="U544" s="123"/>
      <c r="V544" s="123"/>
      <c r="W544" s="123"/>
      <c r="X544" s="123"/>
      <c r="Y544" s="123"/>
    </row>
    <row r="545" spans="1:25" ht="15.75" customHeight="1" x14ac:dyDescent="0.2">
      <c r="A545" s="182"/>
      <c r="B545" s="175"/>
      <c r="C545" s="176"/>
      <c r="D545" s="176"/>
      <c r="E545" s="176"/>
      <c r="F545" s="123"/>
      <c r="G545" s="123"/>
      <c r="H545" s="123"/>
      <c r="I545" s="123"/>
      <c r="J545" s="174"/>
      <c r="K545" s="182"/>
      <c r="L545" s="123"/>
      <c r="M545" s="123"/>
      <c r="N545" s="123"/>
      <c r="O545" s="123"/>
      <c r="P545" s="123"/>
      <c r="Q545" s="123"/>
      <c r="R545" s="123"/>
      <c r="S545" s="123"/>
      <c r="T545" s="123"/>
      <c r="U545" s="123"/>
      <c r="V545" s="123"/>
      <c r="W545" s="123"/>
      <c r="X545" s="123"/>
      <c r="Y545" s="123"/>
    </row>
    <row r="546" spans="1:25" ht="15.75" customHeight="1" x14ac:dyDescent="0.2">
      <c r="A546" s="182"/>
      <c r="B546" s="175"/>
      <c r="C546" s="176"/>
      <c r="D546" s="176"/>
      <c r="E546" s="176"/>
      <c r="F546" s="123"/>
      <c r="G546" s="123"/>
      <c r="H546" s="123"/>
      <c r="I546" s="123"/>
      <c r="J546" s="174"/>
      <c r="K546" s="182"/>
      <c r="L546" s="123"/>
      <c r="M546" s="123"/>
      <c r="N546" s="123"/>
      <c r="O546" s="123"/>
      <c r="P546" s="123"/>
      <c r="Q546" s="123"/>
      <c r="R546" s="123"/>
      <c r="S546" s="123"/>
      <c r="T546" s="123"/>
      <c r="U546" s="123"/>
      <c r="V546" s="123"/>
      <c r="W546" s="123"/>
      <c r="X546" s="123"/>
      <c r="Y546" s="123"/>
    </row>
    <row r="547" spans="1:25" ht="15.75" customHeight="1" x14ac:dyDescent="0.2">
      <c r="A547" s="182"/>
      <c r="B547" s="175"/>
      <c r="C547" s="176"/>
      <c r="D547" s="176"/>
      <c r="E547" s="176"/>
      <c r="F547" s="123"/>
      <c r="G547" s="123"/>
      <c r="H547" s="123"/>
      <c r="I547" s="123"/>
      <c r="J547" s="174"/>
      <c r="K547" s="182"/>
      <c r="L547" s="123"/>
      <c r="M547" s="123"/>
      <c r="N547" s="123"/>
      <c r="O547" s="123"/>
      <c r="P547" s="123"/>
      <c r="Q547" s="123"/>
      <c r="R547" s="123"/>
      <c r="S547" s="123"/>
      <c r="T547" s="123"/>
      <c r="U547" s="123"/>
      <c r="V547" s="123"/>
      <c r="W547" s="123"/>
      <c r="X547" s="123"/>
      <c r="Y547" s="123"/>
    </row>
    <row r="548" spans="1:25" ht="15.75" customHeight="1" x14ac:dyDescent="0.2">
      <c r="A548" s="182"/>
      <c r="B548" s="175"/>
      <c r="C548" s="176"/>
      <c r="D548" s="176"/>
      <c r="E548" s="176"/>
      <c r="F548" s="123"/>
      <c r="G548" s="123"/>
      <c r="H548" s="123"/>
      <c r="I548" s="123"/>
      <c r="J548" s="174"/>
      <c r="K548" s="182"/>
      <c r="L548" s="123"/>
      <c r="M548" s="123"/>
      <c r="N548" s="123"/>
      <c r="O548" s="123"/>
      <c r="P548" s="123"/>
      <c r="Q548" s="123"/>
      <c r="R548" s="123"/>
      <c r="S548" s="123"/>
      <c r="T548" s="123"/>
      <c r="U548" s="123"/>
      <c r="V548" s="123"/>
      <c r="W548" s="123"/>
      <c r="X548" s="123"/>
      <c r="Y548" s="123"/>
    </row>
    <row r="549" spans="1:25" ht="15.75" customHeight="1" x14ac:dyDescent="0.2">
      <c r="A549" s="182"/>
      <c r="B549" s="175"/>
      <c r="C549" s="176"/>
      <c r="D549" s="176"/>
      <c r="E549" s="176"/>
      <c r="F549" s="123"/>
      <c r="G549" s="123"/>
      <c r="H549" s="123"/>
      <c r="I549" s="123"/>
      <c r="J549" s="174"/>
      <c r="K549" s="182"/>
      <c r="L549" s="123"/>
      <c r="M549" s="123"/>
      <c r="N549" s="123"/>
      <c r="O549" s="123"/>
      <c r="P549" s="123"/>
      <c r="Q549" s="123"/>
      <c r="R549" s="123"/>
      <c r="S549" s="123"/>
      <c r="T549" s="123"/>
      <c r="U549" s="123"/>
      <c r="V549" s="123"/>
      <c r="W549" s="123"/>
      <c r="X549" s="123"/>
      <c r="Y549" s="123"/>
    </row>
    <row r="550" spans="1:25" ht="15.75" customHeight="1" x14ac:dyDescent="0.2">
      <c r="A550" s="182"/>
      <c r="B550" s="175"/>
      <c r="C550" s="176"/>
      <c r="D550" s="176"/>
      <c r="E550" s="176"/>
      <c r="F550" s="123"/>
      <c r="G550" s="123"/>
      <c r="H550" s="123"/>
      <c r="I550" s="123"/>
      <c r="J550" s="174"/>
      <c r="K550" s="182"/>
      <c r="L550" s="123"/>
      <c r="M550" s="123"/>
      <c r="N550" s="123"/>
      <c r="O550" s="123"/>
      <c r="P550" s="123"/>
      <c r="Q550" s="123"/>
      <c r="R550" s="123"/>
      <c r="S550" s="123"/>
      <c r="T550" s="123"/>
      <c r="U550" s="123"/>
      <c r="V550" s="123"/>
      <c r="W550" s="123"/>
      <c r="X550" s="123"/>
      <c r="Y550" s="123"/>
    </row>
    <row r="551" spans="1:25" ht="15.75" customHeight="1" x14ac:dyDescent="0.2">
      <c r="A551" s="182"/>
      <c r="B551" s="175"/>
      <c r="C551" s="176"/>
      <c r="D551" s="176"/>
      <c r="E551" s="176"/>
      <c r="F551" s="123"/>
      <c r="G551" s="123"/>
      <c r="H551" s="123"/>
      <c r="I551" s="123"/>
      <c r="J551" s="174"/>
      <c r="K551" s="182"/>
      <c r="L551" s="123"/>
      <c r="M551" s="123"/>
      <c r="N551" s="123"/>
      <c r="O551" s="123"/>
      <c r="P551" s="123"/>
      <c r="Q551" s="123"/>
      <c r="R551" s="123"/>
      <c r="S551" s="123"/>
      <c r="T551" s="123"/>
      <c r="U551" s="123"/>
      <c r="V551" s="123"/>
      <c r="W551" s="123"/>
      <c r="X551" s="123"/>
      <c r="Y551" s="123"/>
    </row>
    <row r="552" spans="1:25" ht="15.75" customHeight="1" x14ac:dyDescent="0.2">
      <c r="A552" s="182"/>
      <c r="B552" s="175"/>
      <c r="C552" s="176"/>
      <c r="D552" s="176"/>
      <c r="E552" s="176"/>
      <c r="F552" s="123"/>
      <c r="G552" s="123"/>
      <c r="H552" s="123"/>
      <c r="I552" s="123"/>
      <c r="J552" s="174"/>
      <c r="K552" s="182"/>
      <c r="L552" s="123"/>
      <c r="M552" s="123"/>
      <c r="N552" s="123"/>
      <c r="O552" s="123"/>
      <c r="P552" s="123"/>
      <c r="Q552" s="123"/>
      <c r="R552" s="123"/>
      <c r="S552" s="123"/>
      <c r="T552" s="123"/>
      <c r="U552" s="123"/>
      <c r="V552" s="123"/>
      <c r="W552" s="123"/>
      <c r="X552" s="123"/>
      <c r="Y552" s="123"/>
    </row>
    <row r="553" spans="1:25" ht="15.75" customHeight="1" x14ac:dyDescent="0.2">
      <c r="A553" s="182"/>
      <c r="B553" s="175"/>
      <c r="C553" s="176"/>
      <c r="D553" s="176"/>
      <c r="E553" s="176"/>
      <c r="F553" s="123"/>
      <c r="G553" s="123"/>
      <c r="H553" s="123"/>
      <c r="I553" s="123"/>
      <c r="J553" s="174"/>
      <c r="K553" s="182"/>
      <c r="L553" s="123"/>
      <c r="M553" s="123"/>
      <c r="N553" s="123"/>
      <c r="O553" s="123"/>
      <c r="P553" s="123"/>
      <c r="Q553" s="123"/>
      <c r="R553" s="123"/>
      <c r="S553" s="123"/>
      <c r="T553" s="123"/>
      <c r="U553" s="123"/>
      <c r="V553" s="123"/>
      <c r="W553" s="123"/>
      <c r="X553" s="123"/>
      <c r="Y553" s="123"/>
    </row>
    <row r="554" spans="1:25" ht="15.75" customHeight="1" x14ac:dyDescent="0.2">
      <c r="A554" s="182"/>
      <c r="B554" s="175"/>
      <c r="C554" s="176"/>
      <c r="D554" s="176"/>
      <c r="E554" s="176"/>
      <c r="F554" s="123"/>
      <c r="G554" s="123"/>
      <c r="H554" s="123"/>
      <c r="I554" s="123"/>
      <c r="J554" s="174"/>
      <c r="K554" s="182"/>
      <c r="L554" s="123"/>
      <c r="M554" s="123"/>
      <c r="N554" s="123"/>
      <c r="O554" s="123"/>
      <c r="P554" s="123"/>
      <c r="Q554" s="123"/>
      <c r="R554" s="123"/>
      <c r="S554" s="123"/>
      <c r="T554" s="123"/>
      <c r="U554" s="123"/>
      <c r="V554" s="123"/>
      <c r="W554" s="123"/>
      <c r="X554" s="123"/>
      <c r="Y554" s="123"/>
    </row>
    <row r="555" spans="1:25" ht="15.75" customHeight="1" x14ac:dyDescent="0.2">
      <c r="A555" s="182"/>
      <c r="B555" s="175"/>
      <c r="C555" s="176"/>
      <c r="D555" s="176"/>
      <c r="E555" s="176"/>
      <c r="F555" s="123"/>
      <c r="G555" s="123"/>
      <c r="H555" s="123"/>
      <c r="I555" s="123"/>
      <c r="J555" s="174"/>
      <c r="K555" s="182"/>
      <c r="L555" s="123"/>
      <c r="M555" s="123"/>
      <c r="N555" s="123"/>
      <c r="O555" s="123"/>
      <c r="P555" s="123"/>
      <c r="Q555" s="123"/>
      <c r="R555" s="123"/>
      <c r="S555" s="123"/>
      <c r="T555" s="123"/>
      <c r="U555" s="123"/>
      <c r="V555" s="123"/>
      <c r="W555" s="123"/>
      <c r="X555" s="123"/>
      <c r="Y555" s="123"/>
    </row>
    <row r="556" spans="1:25" ht="15.75" customHeight="1" x14ac:dyDescent="0.2">
      <c r="A556" s="182"/>
      <c r="B556" s="175"/>
      <c r="C556" s="176"/>
      <c r="D556" s="176"/>
      <c r="E556" s="176"/>
      <c r="F556" s="123"/>
      <c r="G556" s="123"/>
      <c r="H556" s="123"/>
      <c r="I556" s="123"/>
      <c r="J556" s="174"/>
      <c r="K556" s="182"/>
      <c r="L556" s="123"/>
      <c r="M556" s="123"/>
      <c r="N556" s="123"/>
      <c r="O556" s="123"/>
      <c r="P556" s="123"/>
      <c r="Q556" s="123"/>
      <c r="R556" s="123"/>
      <c r="S556" s="123"/>
      <c r="T556" s="123"/>
      <c r="U556" s="123"/>
      <c r="V556" s="123"/>
      <c r="W556" s="123"/>
      <c r="X556" s="123"/>
      <c r="Y556" s="123"/>
    </row>
    <row r="557" spans="1:25" ht="15.75" customHeight="1" x14ac:dyDescent="0.2">
      <c r="A557" s="182"/>
      <c r="B557" s="175"/>
      <c r="C557" s="176"/>
      <c r="D557" s="176"/>
      <c r="E557" s="176"/>
      <c r="F557" s="123"/>
      <c r="G557" s="123"/>
      <c r="H557" s="123"/>
      <c r="I557" s="123"/>
      <c r="J557" s="174"/>
      <c r="K557" s="182"/>
      <c r="L557" s="123"/>
      <c r="M557" s="123"/>
      <c r="N557" s="123"/>
      <c r="O557" s="123"/>
      <c r="P557" s="123"/>
      <c r="Q557" s="123"/>
      <c r="R557" s="123"/>
      <c r="S557" s="123"/>
      <c r="T557" s="123"/>
      <c r="U557" s="123"/>
      <c r="V557" s="123"/>
      <c r="W557" s="123"/>
      <c r="X557" s="123"/>
      <c r="Y557" s="123"/>
    </row>
    <row r="558" spans="1:25" ht="15.75" customHeight="1" x14ac:dyDescent="0.2">
      <c r="A558" s="182"/>
      <c r="B558" s="175"/>
      <c r="C558" s="176"/>
      <c r="D558" s="176"/>
      <c r="E558" s="176"/>
      <c r="F558" s="123"/>
      <c r="G558" s="123"/>
      <c r="H558" s="123"/>
      <c r="I558" s="123"/>
      <c r="J558" s="174"/>
      <c r="K558" s="182"/>
      <c r="L558" s="123"/>
      <c r="M558" s="123"/>
      <c r="N558" s="123"/>
      <c r="O558" s="123"/>
      <c r="P558" s="123"/>
      <c r="Q558" s="123"/>
      <c r="R558" s="123"/>
      <c r="S558" s="123"/>
      <c r="T558" s="123"/>
      <c r="U558" s="123"/>
      <c r="V558" s="123"/>
      <c r="W558" s="123"/>
      <c r="X558" s="123"/>
      <c r="Y558" s="123"/>
    </row>
    <row r="559" spans="1:25" ht="15.75" customHeight="1" x14ac:dyDescent="0.2">
      <c r="A559" s="182"/>
      <c r="B559" s="175"/>
      <c r="C559" s="176"/>
      <c r="D559" s="176"/>
      <c r="E559" s="176"/>
      <c r="F559" s="123"/>
      <c r="G559" s="123"/>
      <c r="H559" s="123"/>
      <c r="I559" s="123"/>
      <c r="J559" s="174"/>
      <c r="K559" s="182"/>
      <c r="L559" s="123"/>
      <c r="M559" s="123"/>
      <c r="N559" s="123"/>
      <c r="O559" s="123"/>
      <c r="P559" s="123"/>
      <c r="Q559" s="123"/>
      <c r="R559" s="123"/>
      <c r="S559" s="123"/>
      <c r="T559" s="123"/>
      <c r="U559" s="123"/>
      <c r="V559" s="123"/>
      <c r="W559" s="123"/>
      <c r="X559" s="123"/>
      <c r="Y559" s="123"/>
    </row>
    <row r="560" spans="1:25" ht="15.75" customHeight="1" x14ac:dyDescent="0.2">
      <c r="A560" s="182"/>
      <c r="B560" s="175"/>
      <c r="C560" s="176"/>
      <c r="D560" s="176"/>
      <c r="E560" s="176"/>
      <c r="F560" s="123"/>
      <c r="G560" s="123"/>
      <c r="H560" s="123"/>
      <c r="I560" s="123"/>
      <c r="J560" s="174"/>
      <c r="K560" s="182"/>
      <c r="L560" s="123"/>
      <c r="M560" s="123"/>
      <c r="N560" s="123"/>
      <c r="O560" s="123"/>
      <c r="P560" s="123"/>
      <c r="Q560" s="123"/>
      <c r="R560" s="123"/>
      <c r="S560" s="123"/>
      <c r="T560" s="123"/>
      <c r="U560" s="123"/>
      <c r="V560" s="123"/>
      <c r="W560" s="123"/>
      <c r="X560" s="123"/>
      <c r="Y560" s="123"/>
    </row>
    <row r="561" spans="1:25" ht="15.75" customHeight="1" x14ac:dyDescent="0.2">
      <c r="A561" s="182"/>
      <c r="B561" s="175"/>
      <c r="C561" s="176"/>
      <c r="D561" s="176"/>
      <c r="E561" s="176"/>
      <c r="F561" s="123"/>
      <c r="G561" s="123"/>
      <c r="H561" s="123"/>
      <c r="I561" s="123"/>
      <c r="J561" s="174"/>
      <c r="K561" s="182"/>
      <c r="L561" s="123"/>
      <c r="M561" s="123"/>
      <c r="N561" s="123"/>
      <c r="O561" s="123"/>
      <c r="P561" s="123"/>
      <c r="Q561" s="123"/>
      <c r="R561" s="123"/>
      <c r="S561" s="123"/>
      <c r="T561" s="123"/>
      <c r="U561" s="123"/>
      <c r="V561" s="123"/>
      <c r="W561" s="123"/>
      <c r="X561" s="123"/>
      <c r="Y561" s="123"/>
    </row>
    <row r="562" spans="1:25" ht="15.75" customHeight="1" x14ac:dyDescent="0.2">
      <c r="A562" s="182"/>
      <c r="B562" s="175"/>
      <c r="C562" s="176"/>
      <c r="D562" s="176"/>
      <c r="E562" s="176"/>
      <c r="F562" s="123"/>
      <c r="G562" s="123"/>
      <c r="H562" s="123"/>
      <c r="I562" s="123"/>
      <c r="J562" s="174"/>
      <c r="K562" s="182"/>
      <c r="L562" s="123"/>
      <c r="M562" s="123"/>
      <c r="N562" s="123"/>
      <c r="O562" s="123"/>
      <c r="P562" s="123"/>
      <c r="Q562" s="123"/>
      <c r="R562" s="123"/>
      <c r="S562" s="123"/>
      <c r="T562" s="123"/>
      <c r="U562" s="123"/>
      <c r="V562" s="123"/>
      <c r="W562" s="123"/>
      <c r="X562" s="123"/>
      <c r="Y562" s="123"/>
    </row>
    <row r="563" spans="1:25" ht="15.75" customHeight="1" x14ac:dyDescent="0.2">
      <c r="A563" s="182"/>
      <c r="B563" s="175"/>
      <c r="C563" s="176"/>
      <c r="D563" s="176"/>
      <c r="E563" s="176"/>
      <c r="F563" s="123"/>
      <c r="G563" s="123"/>
      <c r="H563" s="123"/>
      <c r="I563" s="123"/>
      <c r="J563" s="174"/>
      <c r="K563" s="182"/>
      <c r="L563" s="123"/>
      <c r="M563" s="123"/>
      <c r="N563" s="123"/>
      <c r="O563" s="123"/>
      <c r="P563" s="123"/>
      <c r="Q563" s="123"/>
      <c r="R563" s="123"/>
      <c r="S563" s="123"/>
      <c r="T563" s="123"/>
      <c r="U563" s="123"/>
      <c r="V563" s="123"/>
      <c r="W563" s="123"/>
      <c r="X563" s="123"/>
      <c r="Y563" s="123"/>
    </row>
    <row r="564" spans="1:25" ht="15.75" customHeight="1" x14ac:dyDescent="0.2">
      <c r="A564" s="182"/>
      <c r="B564" s="175"/>
      <c r="C564" s="176"/>
      <c r="D564" s="176"/>
      <c r="E564" s="176"/>
      <c r="F564" s="123"/>
      <c r="G564" s="123"/>
      <c r="H564" s="123"/>
      <c r="I564" s="123"/>
      <c r="J564" s="174"/>
      <c r="K564" s="182"/>
      <c r="L564" s="123"/>
      <c r="M564" s="123"/>
      <c r="N564" s="123"/>
      <c r="O564" s="123"/>
      <c r="P564" s="123"/>
      <c r="Q564" s="123"/>
      <c r="R564" s="123"/>
      <c r="S564" s="123"/>
      <c r="T564" s="123"/>
      <c r="U564" s="123"/>
      <c r="V564" s="123"/>
      <c r="W564" s="123"/>
      <c r="X564" s="123"/>
      <c r="Y564" s="123"/>
    </row>
    <row r="565" spans="1:25" ht="15.75" customHeight="1" x14ac:dyDescent="0.2">
      <c r="A565" s="182"/>
      <c r="B565" s="175"/>
      <c r="C565" s="176"/>
      <c r="D565" s="176"/>
      <c r="E565" s="176"/>
      <c r="F565" s="123"/>
      <c r="G565" s="123"/>
      <c r="H565" s="123"/>
      <c r="I565" s="123"/>
      <c r="J565" s="174"/>
      <c r="K565" s="182"/>
      <c r="L565" s="123"/>
      <c r="M565" s="123"/>
      <c r="N565" s="123"/>
      <c r="O565" s="123"/>
      <c r="P565" s="123"/>
      <c r="Q565" s="123"/>
      <c r="R565" s="123"/>
      <c r="S565" s="123"/>
      <c r="T565" s="123"/>
      <c r="U565" s="123"/>
      <c r="V565" s="123"/>
      <c r="W565" s="123"/>
      <c r="X565" s="123"/>
      <c r="Y565" s="123"/>
    </row>
    <row r="566" spans="1:25" ht="15.75" customHeight="1" x14ac:dyDescent="0.2">
      <c r="A566" s="182"/>
      <c r="B566" s="175"/>
      <c r="C566" s="176"/>
      <c r="D566" s="176"/>
      <c r="E566" s="176"/>
      <c r="F566" s="123"/>
      <c r="G566" s="123"/>
      <c r="H566" s="123"/>
      <c r="I566" s="123"/>
      <c r="J566" s="174"/>
      <c r="K566" s="182"/>
      <c r="L566" s="123"/>
      <c r="M566" s="123"/>
      <c r="N566" s="123"/>
      <c r="O566" s="123"/>
      <c r="P566" s="123"/>
      <c r="Q566" s="123"/>
      <c r="R566" s="123"/>
      <c r="S566" s="123"/>
      <c r="T566" s="123"/>
      <c r="U566" s="123"/>
      <c r="V566" s="123"/>
      <c r="W566" s="123"/>
      <c r="X566" s="123"/>
      <c r="Y566" s="123"/>
    </row>
    <row r="567" spans="1:25" ht="15.75" customHeight="1" x14ac:dyDescent="0.2">
      <c r="A567" s="182"/>
      <c r="B567" s="175"/>
      <c r="C567" s="176"/>
      <c r="D567" s="176"/>
      <c r="E567" s="176"/>
      <c r="F567" s="123"/>
      <c r="G567" s="123"/>
      <c r="H567" s="123"/>
      <c r="I567" s="123"/>
      <c r="J567" s="174"/>
      <c r="K567" s="182"/>
      <c r="L567" s="123"/>
      <c r="M567" s="123"/>
      <c r="N567" s="123"/>
      <c r="O567" s="123"/>
      <c r="P567" s="123"/>
      <c r="Q567" s="123"/>
      <c r="R567" s="123"/>
      <c r="S567" s="123"/>
      <c r="T567" s="123"/>
      <c r="U567" s="123"/>
      <c r="V567" s="123"/>
      <c r="W567" s="123"/>
      <c r="X567" s="123"/>
      <c r="Y567" s="123"/>
    </row>
    <row r="568" spans="1:25" ht="15.75" customHeight="1" x14ac:dyDescent="0.2">
      <c r="A568" s="182"/>
      <c r="B568" s="175"/>
      <c r="C568" s="176"/>
      <c r="D568" s="176"/>
      <c r="E568" s="176"/>
      <c r="F568" s="123"/>
      <c r="G568" s="123"/>
      <c r="H568" s="123"/>
      <c r="I568" s="123"/>
      <c r="J568" s="174"/>
      <c r="K568" s="182"/>
      <c r="L568" s="123"/>
      <c r="M568" s="123"/>
      <c r="N568" s="123"/>
      <c r="O568" s="123"/>
      <c r="P568" s="123"/>
      <c r="Q568" s="123"/>
      <c r="R568" s="123"/>
      <c r="S568" s="123"/>
      <c r="T568" s="123"/>
      <c r="U568" s="123"/>
      <c r="V568" s="123"/>
      <c r="W568" s="123"/>
      <c r="X568" s="123"/>
      <c r="Y568" s="123"/>
    </row>
    <row r="569" spans="1:25" ht="15.75" customHeight="1" x14ac:dyDescent="0.2">
      <c r="A569" s="182"/>
      <c r="B569" s="175"/>
      <c r="C569" s="176"/>
      <c r="D569" s="176"/>
      <c r="E569" s="176"/>
      <c r="F569" s="123"/>
      <c r="G569" s="123"/>
      <c r="H569" s="123"/>
      <c r="I569" s="123"/>
      <c r="J569" s="174"/>
      <c r="K569" s="182"/>
      <c r="L569" s="123"/>
      <c r="M569" s="123"/>
      <c r="N569" s="123"/>
      <c r="O569" s="123"/>
      <c r="P569" s="123"/>
      <c r="Q569" s="123"/>
      <c r="R569" s="123"/>
      <c r="S569" s="123"/>
      <c r="T569" s="123"/>
      <c r="U569" s="123"/>
      <c r="V569" s="123"/>
      <c r="W569" s="123"/>
      <c r="X569" s="123"/>
      <c r="Y569" s="123"/>
    </row>
    <row r="570" spans="1:25" ht="15.75" customHeight="1" x14ac:dyDescent="0.2">
      <c r="A570" s="182"/>
      <c r="B570" s="175"/>
      <c r="C570" s="176"/>
      <c r="D570" s="176"/>
      <c r="E570" s="176"/>
      <c r="F570" s="123"/>
      <c r="G570" s="123"/>
      <c r="H570" s="123"/>
      <c r="I570" s="123"/>
      <c r="J570" s="174"/>
      <c r="K570" s="182"/>
      <c r="L570" s="123"/>
      <c r="M570" s="123"/>
      <c r="N570" s="123"/>
      <c r="O570" s="123"/>
      <c r="P570" s="123"/>
      <c r="Q570" s="123"/>
      <c r="R570" s="123"/>
      <c r="S570" s="123"/>
      <c r="T570" s="123"/>
      <c r="U570" s="123"/>
      <c r="V570" s="123"/>
      <c r="W570" s="123"/>
      <c r="X570" s="123"/>
      <c r="Y570" s="123"/>
    </row>
    <row r="571" spans="1:25" ht="15.75" customHeight="1" x14ac:dyDescent="0.2">
      <c r="A571" s="182"/>
      <c r="B571" s="175"/>
      <c r="C571" s="176"/>
      <c r="D571" s="176"/>
      <c r="E571" s="176"/>
      <c r="F571" s="123"/>
      <c r="G571" s="123"/>
      <c r="H571" s="123"/>
      <c r="I571" s="123"/>
      <c r="J571" s="174"/>
      <c r="K571" s="182"/>
      <c r="L571" s="123"/>
      <c r="M571" s="123"/>
      <c r="N571" s="123"/>
      <c r="O571" s="123"/>
      <c r="P571" s="123"/>
      <c r="Q571" s="123"/>
      <c r="R571" s="123"/>
      <c r="S571" s="123"/>
      <c r="T571" s="123"/>
      <c r="U571" s="123"/>
      <c r="V571" s="123"/>
      <c r="W571" s="123"/>
      <c r="X571" s="123"/>
      <c r="Y571" s="123"/>
    </row>
    <row r="572" spans="1:25" ht="15.75" customHeight="1" x14ac:dyDescent="0.2">
      <c r="A572" s="182"/>
      <c r="B572" s="175"/>
      <c r="C572" s="176"/>
      <c r="D572" s="176"/>
      <c r="E572" s="176"/>
      <c r="F572" s="123"/>
      <c r="G572" s="123"/>
      <c r="H572" s="123"/>
      <c r="I572" s="123"/>
      <c r="J572" s="174"/>
      <c r="K572" s="182"/>
      <c r="L572" s="123"/>
      <c r="M572" s="123"/>
      <c r="N572" s="123"/>
      <c r="O572" s="123"/>
      <c r="P572" s="123"/>
      <c r="Q572" s="123"/>
      <c r="R572" s="123"/>
      <c r="S572" s="123"/>
      <c r="T572" s="123"/>
      <c r="U572" s="123"/>
      <c r="V572" s="123"/>
      <c r="W572" s="123"/>
      <c r="X572" s="123"/>
      <c r="Y572" s="123"/>
    </row>
    <row r="573" spans="1:25" ht="15.75" customHeight="1" x14ac:dyDescent="0.2">
      <c r="A573" s="182"/>
      <c r="B573" s="175"/>
      <c r="C573" s="176"/>
      <c r="D573" s="176"/>
      <c r="E573" s="176"/>
      <c r="F573" s="123"/>
      <c r="G573" s="123"/>
      <c r="H573" s="123"/>
      <c r="I573" s="123"/>
      <c r="J573" s="174"/>
      <c r="K573" s="182"/>
      <c r="L573" s="123"/>
      <c r="M573" s="123"/>
      <c r="N573" s="123"/>
      <c r="O573" s="123"/>
      <c r="P573" s="123"/>
      <c r="Q573" s="123"/>
      <c r="R573" s="123"/>
      <c r="S573" s="123"/>
      <c r="T573" s="123"/>
      <c r="U573" s="123"/>
      <c r="V573" s="123"/>
      <c r="W573" s="123"/>
      <c r="X573" s="123"/>
      <c r="Y573" s="123"/>
    </row>
    <row r="574" spans="1:25" ht="15.75" customHeight="1" x14ac:dyDescent="0.2">
      <c r="A574" s="182"/>
      <c r="B574" s="175"/>
      <c r="C574" s="176"/>
      <c r="D574" s="176"/>
      <c r="E574" s="176"/>
      <c r="F574" s="123"/>
      <c r="G574" s="123"/>
      <c r="H574" s="123"/>
      <c r="I574" s="123"/>
      <c r="J574" s="174"/>
      <c r="K574" s="182"/>
      <c r="L574" s="123"/>
      <c r="M574" s="123"/>
      <c r="N574" s="123"/>
      <c r="O574" s="123"/>
      <c r="P574" s="123"/>
      <c r="Q574" s="123"/>
      <c r="R574" s="123"/>
      <c r="S574" s="123"/>
      <c r="T574" s="123"/>
      <c r="U574" s="123"/>
      <c r="V574" s="123"/>
      <c r="W574" s="123"/>
      <c r="X574" s="123"/>
      <c r="Y574" s="123"/>
    </row>
    <row r="575" spans="1:25" ht="15.75" customHeight="1" x14ac:dyDescent="0.2">
      <c r="A575" s="182"/>
      <c r="B575" s="175"/>
      <c r="C575" s="176"/>
      <c r="D575" s="176"/>
      <c r="E575" s="176"/>
      <c r="F575" s="123"/>
      <c r="G575" s="123"/>
      <c r="H575" s="123"/>
      <c r="I575" s="123"/>
      <c r="J575" s="174"/>
      <c r="K575" s="182"/>
      <c r="L575" s="123"/>
      <c r="M575" s="123"/>
      <c r="N575" s="123"/>
      <c r="O575" s="123"/>
      <c r="P575" s="123"/>
      <c r="Q575" s="123"/>
      <c r="R575" s="123"/>
      <c r="S575" s="123"/>
      <c r="T575" s="123"/>
      <c r="U575" s="123"/>
      <c r="V575" s="123"/>
      <c r="W575" s="123"/>
      <c r="X575" s="123"/>
      <c r="Y575" s="123"/>
    </row>
    <row r="576" spans="1:25" ht="15.75" customHeight="1" x14ac:dyDescent="0.2">
      <c r="A576" s="182"/>
      <c r="B576" s="175"/>
      <c r="C576" s="176"/>
      <c r="D576" s="176"/>
      <c r="E576" s="176"/>
      <c r="F576" s="123"/>
      <c r="G576" s="123"/>
      <c r="H576" s="123"/>
      <c r="I576" s="123"/>
      <c r="J576" s="174"/>
      <c r="K576" s="182"/>
      <c r="L576" s="123"/>
      <c r="M576" s="123"/>
      <c r="N576" s="123"/>
      <c r="O576" s="123"/>
      <c r="P576" s="123"/>
      <c r="Q576" s="123"/>
      <c r="R576" s="123"/>
      <c r="S576" s="123"/>
      <c r="T576" s="123"/>
      <c r="U576" s="123"/>
      <c r="V576" s="123"/>
      <c r="W576" s="123"/>
      <c r="X576" s="123"/>
      <c r="Y576" s="123"/>
    </row>
    <row r="577" spans="1:25" ht="15.75" customHeight="1" x14ac:dyDescent="0.2">
      <c r="A577" s="182"/>
      <c r="B577" s="175"/>
      <c r="C577" s="176"/>
      <c r="D577" s="176"/>
      <c r="E577" s="176"/>
      <c r="F577" s="123"/>
      <c r="G577" s="123"/>
      <c r="H577" s="123"/>
      <c r="I577" s="123"/>
      <c r="J577" s="174"/>
      <c r="K577" s="182"/>
      <c r="L577" s="123"/>
      <c r="M577" s="123"/>
      <c r="N577" s="123"/>
      <c r="O577" s="123"/>
      <c r="P577" s="123"/>
      <c r="Q577" s="123"/>
      <c r="R577" s="123"/>
      <c r="S577" s="123"/>
      <c r="T577" s="123"/>
      <c r="U577" s="123"/>
      <c r="V577" s="123"/>
      <c r="W577" s="123"/>
      <c r="X577" s="123"/>
      <c r="Y577" s="123"/>
    </row>
    <row r="578" spans="1:25" ht="15.75" customHeight="1" x14ac:dyDescent="0.2">
      <c r="A578" s="182"/>
      <c r="B578" s="175"/>
      <c r="C578" s="176"/>
      <c r="D578" s="176"/>
      <c r="E578" s="176"/>
      <c r="F578" s="123"/>
      <c r="G578" s="123"/>
      <c r="H578" s="123"/>
      <c r="I578" s="123"/>
      <c r="J578" s="174"/>
      <c r="K578" s="182"/>
      <c r="L578" s="123"/>
      <c r="M578" s="123"/>
      <c r="N578" s="123"/>
      <c r="O578" s="123"/>
      <c r="P578" s="123"/>
      <c r="Q578" s="123"/>
      <c r="R578" s="123"/>
      <c r="S578" s="123"/>
      <c r="T578" s="123"/>
      <c r="U578" s="123"/>
      <c r="V578" s="123"/>
      <c r="W578" s="123"/>
      <c r="X578" s="123"/>
      <c r="Y578" s="123"/>
    </row>
    <row r="579" spans="1:25" ht="15.75" customHeight="1" x14ac:dyDescent="0.2">
      <c r="A579" s="182"/>
      <c r="B579" s="175"/>
      <c r="C579" s="176"/>
      <c r="D579" s="176"/>
      <c r="E579" s="176"/>
      <c r="F579" s="123"/>
      <c r="G579" s="123"/>
      <c r="H579" s="123"/>
      <c r="I579" s="123"/>
      <c r="J579" s="174"/>
      <c r="K579" s="182"/>
      <c r="L579" s="123"/>
      <c r="M579" s="123"/>
      <c r="N579" s="123"/>
      <c r="O579" s="123"/>
      <c r="P579" s="123"/>
      <c r="Q579" s="123"/>
      <c r="R579" s="123"/>
      <c r="S579" s="123"/>
      <c r="T579" s="123"/>
      <c r="U579" s="123"/>
      <c r="V579" s="123"/>
      <c r="W579" s="123"/>
      <c r="X579" s="123"/>
      <c r="Y579" s="123"/>
    </row>
    <row r="580" spans="1:25" ht="15.75" customHeight="1" x14ac:dyDescent="0.2">
      <c r="A580" s="182"/>
      <c r="B580" s="175"/>
      <c r="C580" s="176"/>
      <c r="D580" s="176"/>
      <c r="E580" s="176"/>
      <c r="F580" s="123"/>
      <c r="G580" s="123"/>
      <c r="H580" s="123"/>
      <c r="I580" s="123"/>
      <c r="J580" s="174"/>
      <c r="K580" s="182"/>
      <c r="L580" s="123"/>
      <c r="M580" s="123"/>
      <c r="N580" s="123"/>
      <c r="O580" s="123"/>
      <c r="P580" s="123"/>
      <c r="Q580" s="123"/>
      <c r="R580" s="123"/>
      <c r="S580" s="123"/>
      <c r="T580" s="123"/>
      <c r="U580" s="123"/>
      <c r="V580" s="123"/>
      <c r="W580" s="123"/>
      <c r="X580" s="123"/>
      <c r="Y580" s="123"/>
    </row>
    <row r="581" spans="1:25" ht="15.75" customHeight="1" x14ac:dyDescent="0.2">
      <c r="A581" s="182"/>
      <c r="B581" s="175"/>
      <c r="C581" s="176"/>
      <c r="D581" s="176"/>
      <c r="E581" s="176"/>
      <c r="F581" s="123"/>
      <c r="G581" s="123"/>
      <c r="H581" s="123"/>
      <c r="I581" s="123"/>
      <c r="J581" s="174"/>
      <c r="K581" s="182"/>
      <c r="L581" s="123"/>
      <c r="M581" s="123"/>
      <c r="N581" s="123"/>
      <c r="O581" s="123"/>
      <c r="P581" s="123"/>
      <c r="Q581" s="123"/>
      <c r="R581" s="123"/>
      <c r="S581" s="123"/>
      <c r="T581" s="123"/>
      <c r="U581" s="123"/>
      <c r="V581" s="123"/>
      <c r="W581" s="123"/>
      <c r="X581" s="123"/>
      <c r="Y581" s="123"/>
    </row>
    <row r="582" spans="1:25" ht="15.75" customHeight="1" x14ac:dyDescent="0.2">
      <c r="A582" s="182"/>
      <c r="B582" s="175"/>
      <c r="C582" s="176"/>
      <c r="D582" s="176"/>
      <c r="E582" s="176"/>
      <c r="F582" s="123"/>
      <c r="G582" s="123"/>
      <c r="H582" s="123"/>
      <c r="I582" s="123"/>
      <c r="J582" s="174"/>
      <c r="K582" s="182"/>
      <c r="L582" s="123"/>
      <c r="M582" s="123"/>
      <c r="N582" s="123"/>
      <c r="O582" s="123"/>
      <c r="P582" s="123"/>
      <c r="Q582" s="123"/>
      <c r="R582" s="123"/>
      <c r="S582" s="123"/>
      <c r="T582" s="123"/>
      <c r="U582" s="123"/>
      <c r="V582" s="123"/>
      <c r="W582" s="123"/>
      <c r="X582" s="123"/>
      <c r="Y582" s="123"/>
    </row>
    <row r="583" spans="1:25" ht="15.75" customHeight="1" x14ac:dyDescent="0.2">
      <c r="A583" s="182"/>
      <c r="B583" s="175"/>
      <c r="C583" s="176"/>
      <c r="D583" s="176"/>
      <c r="E583" s="176"/>
      <c r="F583" s="123"/>
      <c r="G583" s="123"/>
      <c r="H583" s="123"/>
      <c r="I583" s="123"/>
      <c r="J583" s="174"/>
      <c r="K583" s="182"/>
      <c r="L583" s="123"/>
      <c r="M583" s="123"/>
      <c r="N583" s="123"/>
      <c r="O583" s="123"/>
      <c r="P583" s="123"/>
      <c r="Q583" s="123"/>
      <c r="R583" s="123"/>
      <c r="S583" s="123"/>
      <c r="T583" s="123"/>
      <c r="U583" s="123"/>
      <c r="V583" s="123"/>
      <c r="W583" s="123"/>
      <c r="X583" s="123"/>
      <c r="Y583" s="123"/>
    </row>
    <row r="584" spans="1:25" ht="15.75" customHeight="1" x14ac:dyDescent="0.2">
      <c r="A584" s="182"/>
      <c r="B584" s="175"/>
      <c r="C584" s="176"/>
      <c r="D584" s="176"/>
      <c r="E584" s="176"/>
      <c r="F584" s="123"/>
      <c r="G584" s="123"/>
      <c r="H584" s="123"/>
      <c r="I584" s="123"/>
      <c r="J584" s="174"/>
      <c r="K584" s="182"/>
      <c r="L584" s="123"/>
      <c r="M584" s="123"/>
      <c r="N584" s="123"/>
      <c r="O584" s="123"/>
      <c r="P584" s="123"/>
      <c r="Q584" s="123"/>
      <c r="R584" s="123"/>
      <c r="S584" s="123"/>
      <c r="T584" s="123"/>
      <c r="U584" s="123"/>
      <c r="V584" s="123"/>
      <c r="W584" s="123"/>
      <c r="X584" s="123"/>
      <c r="Y584" s="123"/>
    </row>
    <row r="585" spans="1:25" ht="15.75" customHeight="1" x14ac:dyDescent="0.2">
      <c r="A585" s="182"/>
      <c r="B585" s="175"/>
      <c r="C585" s="176"/>
      <c r="D585" s="176"/>
      <c r="E585" s="176"/>
      <c r="F585" s="123"/>
      <c r="G585" s="123"/>
      <c r="H585" s="123"/>
      <c r="I585" s="123"/>
      <c r="J585" s="174"/>
      <c r="K585" s="182"/>
      <c r="L585" s="123"/>
      <c r="M585" s="123"/>
      <c r="N585" s="123"/>
      <c r="O585" s="123"/>
      <c r="P585" s="123"/>
      <c r="Q585" s="123"/>
      <c r="R585" s="123"/>
      <c r="S585" s="123"/>
      <c r="T585" s="123"/>
      <c r="U585" s="123"/>
      <c r="V585" s="123"/>
      <c r="W585" s="123"/>
      <c r="X585" s="123"/>
      <c r="Y585" s="123"/>
    </row>
    <row r="586" spans="1:25" ht="15.75" customHeight="1" x14ac:dyDescent="0.2">
      <c r="A586" s="182"/>
      <c r="B586" s="175"/>
      <c r="C586" s="176"/>
      <c r="D586" s="176"/>
      <c r="E586" s="176"/>
      <c r="F586" s="123"/>
      <c r="G586" s="123"/>
      <c r="H586" s="123"/>
      <c r="I586" s="123"/>
      <c r="J586" s="174"/>
      <c r="K586" s="182"/>
      <c r="L586" s="123"/>
      <c r="M586" s="123"/>
      <c r="N586" s="123"/>
      <c r="O586" s="123"/>
      <c r="P586" s="123"/>
      <c r="Q586" s="123"/>
      <c r="R586" s="123"/>
      <c r="S586" s="123"/>
      <c r="T586" s="123"/>
      <c r="U586" s="123"/>
      <c r="V586" s="123"/>
      <c r="W586" s="123"/>
      <c r="X586" s="123"/>
      <c r="Y586" s="123"/>
    </row>
    <row r="587" spans="1:25" ht="15.75" customHeight="1" x14ac:dyDescent="0.2">
      <c r="A587" s="182"/>
      <c r="B587" s="175"/>
      <c r="C587" s="176"/>
      <c r="D587" s="176"/>
      <c r="E587" s="176"/>
      <c r="F587" s="123"/>
      <c r="G587" s="123"/>
      <c r="H587" s="123"/>
      <c r="I587" s="123"/>
      <c r="J587" s="174"/>
      <c r="K587" s="182"/>
      <c r="L587" s="123"/>
      <c r="M587" s="123"/>
      <c r="N587" s="123"/>
      <c r="O587" s="123"/>
      <c r="P587" s="123"/>
      <c r="Q587" s="123"/>
      <c r="R587" s="123"/>
      <c r="S587" s="123"/>
      <c r="T587" s="123"/>
      <c r="U587" s="123"/>
      <c r="V587" s="123"/>
      <c r="W587" s="123"/>
      <c r="X587" s="123"/>
      <c r="Y587" s="123"/>
    </row>
    <row r="588" spans="1:25" ht="15.75" customHeight="1" x14ac:dyDescent="0.2">
      <c r="A588" s="182"/>
      <c r="B588" s="175"/>
      <c r="C588" s="176"/>
      <c r="D588" s="176"/>
      <c r="E588" s="176"/>
      <c r="F588" s="123"/>
      <c r="G588" s="123"/>
      <c r="H588" s="123"/>
      <c r="I588" s="123"/>
      <c r="J588" s="174"/>
      <c r="K588" s="182"/>
      <c r="L588" s="123"/>
      <c r="M588" s="123"/>
      <c r="N588" s="123"/>
      <c r="O588" s="123"/>
      <c r="P588" s="123"/>
      <c r="Q588" s="123"/>
      <c r="R588" s="123"/>
      <c r="S588" s="123"/>
      <c r="T588" s="123"/>
      <c r="U588" s="123"/>
      <c r="V588" s="123"/>
      <c r="W588" s="123"/>
      <c r="X588" s="123"/>
      <c r="Y588" s="123"/>
    </row>
    <row r="589" spans="1:25" ht="15.75" customHeight="1" x14ac:dyDescent="0.2">
      <c r="A589" s="182"/>
      <c r="B589" s="175"/>
      <c r="C589" s="176"/>
      <c r="D589" s="176"/>
      <c r="E589" s="176"/>
      <c r="F589" s="123"/>
      <c r="G589" s="123"/>
      <c r="H589" s="123"/>
      <c r="I589" s="123"/>
      <c r="J589" s="174"/>
      <c r="K589" s="182"/>
      <c r="L589" s="123"/>
      <c r="M589" s="123"/>
      <c r="N589" s="123"/>
      <c r="O589" s="123"/>
      <c r="P589" s="123"/>
      <c r="Q589" s="123"/>
      <c r="R589" s="123"/>
      <c r="S589" s="123"/>
      <c r="T589" s="123"/>
      <c r="U589" s="123"/>
      <c r="V589" s="123"/>
      <c r="W589" s="123"/>
      <c r="X589" s="123"/>
      <c r="Y589" s="123"/>
    </row>
    <row r="590" spans="1:25" ht="15.75" customHeight="1" x14ac:dyDescent="0.2">
      <c r="A590" s="182"/>
      <c r="B590" s="175"/>
      <c r="C590" s="176"/>
      <c r="D590" s="176"/>
      <c r="E590" s="176"/>
      <c r="F590" s="123"/>
      <c r="G590" s="123"/>
      <c r="H590" s="123"/>
      <c r="I590" s="123"/>
      <c r="J590" s="174"/>
      <c r="K590" s="182"/>
      <c r="L590" s="123"/>
      <c r="M590" s="123"/>
      <c r="N590" s="123"/>
      <c r="O590" s="123"/>
      <c r="P590" s="123"/>
      <c r="Q590" s="123"/>
      <c r="R590" s="123"/>
      <c r="S590" s="123"/>
      <c r="T590" s="123"/>
      <c r="U590" s="123"/>
      <c r="V590" s="123"/>
      <c r="W590" s="123"/>
      <c r="X590" s="123"/>
      <c r="Y590" s="123"/>
    </row>
    <row r="591" spans="1:25" ht="15.75" customHeight="1" x14ac:dyDescent="0.2">
      <c r="A591" s="182"/>
      <c r="B591" s="175"/>
      <c r="C591" s="176"/>
      <c r="D591" s="176"/>
      <c r="E591" s="176"/>
      <c r="F591" s="123"/>
      <c r="G591" s="123"/>
      <c r="H591" s="123"/>
      <c r="I591" s="123"/>
      <c r="J591" s="174"/>
      <c r="K591" s="182"/>
      <c r="L591" s="123"/>
      <c r="M591" s="123"/>
      <c r="N591" s="123"/>
      <c r="O591" s="123"/>
      <c r="P591" s="123"/>
      <c r="Q591" s="123"/>
      <c r="R591" s="123"/>
      <c r="S591" s="123"/>
      <c r="T591" s="123"/>
      <c r="U591" s="123"/>
      <c r="V591" s="123"/>
      <c r="W591" s="123"/>
      <c r="X591" s="123"/>
      <c r="Y591" s="123"/>
    </row>
    <row r="592" spans="1:25" ht="15.75" customHeight="1" x14ac:dyDescent="0.2">
      <c r="A592" s="182"/>
      <c r="B592" s="175"/>
      <c r="C592" s="176"/>
      <c r="D592" s="176"/>
      <c r="E592" s="176"/>
      <c r="F592" s="123"/>
      <c r="G592" s="123"/>
      <c r="H592" s="123"/>
      <c r="I592" s="123"/>
      <c r="J592" s="174"/>
      <c r="K592" s="182"/>
      <c r="L592" s="123"/>
      <c r="M592" s="123"/>
      <c r="N592" s="123"/>
      <c r="O592" s="123"/>
      <c r="P592" s="123"/>
      <c r="Q592" s="123"/>
      <c r="R592" s="123"/>
      <c r="S592" s="123"/>
      <c r="T592" s="123"/>
      <c r="U592" s="123"/>
      <c r="V592" s="123"/>
      <c r="W592" s="123"/>
      <c r="X592" s="123"/>
      <c r="Y592" s="123"/>
    </row>
    <row r="593" spans="1:25" ht="15.75" customHeight="1" x14ac:dyDescent="0.2">
      <c r="A593" s="182"/>
      <c r="B593" s="175"/>
      <c r="C593" s="176"/>
      <c r="D593" s="176"/>
      <c r="E593" s="176"/>
      <c r="F593" s="123"/>
      <c r="G593" s="123"/>
      <c r="H593" s="123"/>
      <c r="I593" s="123"/>
      <c r="J593" s="174"/>
      <c r="K593" s="182"/>
      <c r="L593" s="123"/>
      <c r="M593" s="123"/>
      <c r="N593" s="123"/>
      <c r="O593" s="123"/>
      <c r="P593" s="123"/>
      <c r="Q593" s="123"/>
      <c r="R593" s="123"/>
      <c r="S593" s="123"/>
      <c r="T593" s="123"/>
      <c r="U593" s="123"/>
      <c r="V593" s="123"/>
      <c r="W593" s="123"/>
      <c r="X593" s="123"/>
      <c r="Y593" s="123"/>
    </row>
    <row r="594" spans="1:25" ht="15.75" customHeight="1" x14ac:dyDescent="0.2">
      <c r="A594" s="182"/>
      <c r="B594" s="175"/>
      <c r="C594" s="176"/>
      <c r="D594" s="176"/>
      <c r="E594" s="176"/>
      <c r="F594" s="123"/>
      <c r="G594" s="123"/>
      <c r="H594" s="123"/>
      <c r="I594" s="123"/>
      <c r="J594" s="174"/>
      <c r="K594" s="182"/>
      <c r="L594" s="123"/>
      <c r="M594" s="123"/>
      <c r="N594" s="123"/>
      <c r="O594" s="123"/>
      <c r="P594" s="123"/>
      <c r="Q594" s="123"/>
      <c r="R594" s="123"/>
      <c r="S594" s="123"/>
      <c r="T594" s="123"/>
      <c r="U594" s="123"/>
      <c r="V594" s="123"/>
      <c r="W594" s="123"/>
      <c r="X594" s="123"/>
      <c r="Y594" s="123"/>
    </row>
    <row r="595" spans="1:25" ht="15.75" customHeight="1" x14ac:dyDescent="0.2">
      <c r="A595" s="182"/>
      <c r="B595" s="175"/>
      <c r="C595" s="176"/>
      <c r="D595" s="176"/>
      <c r="E595" s="176"/>
      <c r="F595" s="123"/>
      <c r="G595" s="123"/>
      <c r="H595" s="123"/>
      <c r="I595" s="123"/>
      <c r="J595" s="174"/>
      <c r="K595" s="182"/>
      <c r="L595" s="123"/>
      <c r="M595" s="123"/>
      <c r="N595" s="123"/>
      <c r="O595" s="123"/>
      <c r="P595" s="123"/>
      <c r="Q595" s="123"/>
      <c r="R595" s="123"/>
      <c r="S595" s="123"/>
      <c r="T595" s="123"/>
      <c r="U595" s="123"/>
      <c r="V595" s="123"/>
      <c r="W595" s="123"/>
      <c r="X595" s="123"/>
      <c r="Y595" s="123"/>
    </row>
    <row r="596" spans="1:25" ht="15.75" customHeight="1" x14ac:dyDescent="0.2">
      <c r="A596" s="182"/>
      <c r="B596" s="175"/>
      <c r="C596" s="176"/>
      <c r="D596" s="176"/>
      <c r="E596" s="176"/>
      <c r="F596" s="123"/>
      <c r="G596" s="123"/>
      <c r="H596" s="123"/>
      <c r="I596" s="123"/>
      <c r="J596" s="174"/>
      <c r="K596" s="182"/>
      <c r="L596" s="123"/>
      <c r="M596" s="123"/>
      <c r="N596" s="123"/>
      <c r="O596" s="123"/>
      <c r="P596" s="123"/>
      <c r="Q596" s="123"/>
      <c r="R596" s="123"/>
      <c r="S596" s="123"/>
      <c r="T596" s="123"/>
      <c r="U596" s="123"/>
      <c r="V596" s="123"/>
      <c r="W596" s="123"/>
      <c r="X596" s="123"/>
      <c r="Y596" s="123"/>
    </row>
    <row r="597" spans="1:25" ht="15.75" customHeight="1" x14ac:dyDescent="0.2">
      <c r="A597" s="182"/>
      <c r="B597" s="175"/>
      <c r="C597" s="176"/>
      <c r="D597" s="176"/>
      <c r="E597" s="176"/>
      <c r="F597" s="123"/>
      <c r="G597" s="123"/>
      <c r="H597" s="123"/>
      <c r="I597" s="123"/>
      <c r="J597" s="174"/>
      <c r="K597" s="182"/>
      <c r="L597" s="123"/>
      <c r="M597" s="123"/>
      <c r="N597" s="123"/>
      <c r="O597" s="123"/>
      <c r="P597" s="123"/>
      <c r="Q597" s="123"/>
      <c r="R597" s="123"/>
      <c r="S597" s="123"/>
      <c r="T597" s="123"/>
      <c r="U597" s="123"/>
      <c r="V597" s="123"/>
      <c r="W597" s="123"/>
      <c r="X597" s="123"/>
      <c r="Y597" s="123"/>
    </row>
    <row r="598" spans="1:25" ht="15.75" customHeight="1" x14ac:dyDescent="0.2">
      <c r="A598" s="182"/>
      <c r="B598" s="175"/>
      <c r="C598" s="176"/>
      <c r="D598" s="176"/>
      <c r="E598" s="176"/>
      <c r="F598" s="123"/>
      <c r="G598" s="123"/>
      <c r="H598" s="123"/>
      <c r="I598" s="123"/>
      <c r="J598" s="174"/>
      <c r="K598" s="182"/>
      <c r="L598" s="123"/>
      <c r="M598" s="123"/>
      <c r="N598" s="123"/>
      <c r="O598" s="123"/>
      <c r="P598" s="123"/>
      <c r="Q598" s="123"/>
      <c r="R598" s="123"/>
      <c r="S598" s="123"/>
      <c r="T598" s="123"/>
      <c r="U598" s="123"/>
      <c r="V598" s="123"/>
      <c r="W598" s="123"/>
      <c r="X598" s="123"/>
      <c r="Y598" s="123"/>
    </row>
    <row r="599" spans="1:25" ht="15.75" customHeight="1" x14ac:dyDescent="0.2">
      <c r="A599" s="182"/>
      <c r="B599" s="175"/>
      <c r="C599" s="176"/>
      <c r="D599" s="176"/>
      <c r="E599" s="176"/>
      <c r="F599" s="123"/>
      <c r="G599" s="123"/>
      <c r="H599" s="123"/>
      <c r="I599" s="123"/>
      <c r="J599" s="174"/>
      <c r="K599" s="182"/>
      <c r="L599" s="123"/>
      <c r="M599" s="123"/>
      <c r="N599" s="123"/>
      <c r="O599" s="123"/>
      <c r="P599" s="123"/>
      <c r="Q599" s="123"/>
      <c r="R599" s="123"/>
      <c r="S599" s="123"/>
      <c r="T599" s="123"/>
      <c r="U599" s="123"/>
      <c r="V599" s="123"/>
      <c r="W599" s="123"/>
      <c r="X599" s="123"/>
      <c r="Y599" s="123"/>
    </row>
    <row r="600" spans="1:25" ht="15.75" customHeight="1" x14ac:dyDescent="0.2">
      <c r="A600" s="182"/>
      <c r="B600" s="175"/>
      <c r="C600" s="176"/>
      <c r="D600" s="176"/>
      <c r="E600" s="176"/>
      <c r="F600" s="123"/>
      <c r="G600" s="123"/>
      <c r="H600" s="123"/>
      <c r="I600" s="123"/>
      <c r="J600" s="174"/>
      <c r="K600" s="182"/>
      <c r="L600" s="123"/>
      <c r="M600" s="123"/>
      <c r="N600" s="123"/>
      <c r="O600" s="123"/>
      <c r="P600" s="123"/>
      <c r="Q600" s="123"/>
      <c r="R600" s="123"/>
      <c r="S600" s="123"/>
      <c r="T600" s="123"/>
      <c r="U600" s="123"/>
      <c r="V600" s="123"/>
      <c r="W600" s="123"/>
      <c r="X600" s="123"/>
      <c r="Y600" s="123"/>
    </row>
    <row r="601" spans="1:25" ht="15.75" customHeight="1" x14ac:dyDescent="0.2">
      <c r="A601" s="182"/>
      <c r="B601" s="175"/>
      <c r="C601" s="176"/>
      <c r="D601" s="176"/>
      <c r="E601" s="176"/>
      <c r="F601" s="123"/>
      <c r="G601" s="123"/>
      <c r="H601" s="123"/>
      <c r="I601" s="123"/>
      <c r="J601" s="174"/>
      <c r="K601" s="182"/>
      <c r="L601" s="123"/>
      <c r="M601" s="123"/>
      <c r="N601" s="123"/>
      <c r="O601" s="123"/>
      <c r="P601" s="123"/>
      <c r="Q601" s="123"/>
      <c r="R601" s="123"/>
      <c r="S601" s="123"/>
      <c r="T601" s="123"/>
      <c r="U601" s="123"/>
      <c r="V601" s="123"/>
      <c r="W601" s="123"/>
      <c r="X601" s="123"/>
      <c r="Y601" s="123"/>
    </row>
    <row r="602" spans="1:25" ht="15.75" customHeight="1" x14ac:dyDescent="0.2">
      <c r="A602" s="182"/>
      <c r="B602" s="175"/>
      <c r="C602" s="176"/>
      <c r="D602" s="176"/>
      <c r="E602" s="176"/>
      <c r="F602" s="123"/>
      <c r="G602" s="123"/>
      <c r="H602" s="123"/>
      <c r="I602" s="123"/>
      <c r="J602" s="174"/>
      <c r="K602" s="182"/>
      <c r="L602" s="123"/>
      <c r="M602" s="123"/>
      <c r="N602" s="123"/>
      <c r="O602" s="123"/>
      <c r="P602" s="123"/>
      <c r="Q602" s="123"/>
      <c r="R602" s="123"/>
      <c r="S602" s="123"/>
      <c r="T602" s="123"/>
      <c r="U602" s="123"/>
      <c r="V602" s="123"/>
      <c r="W602" s="123"/>
      <c r="X602" s="123"/>
      <c r="Y602" s="123"/>
    </row>
    <row r="603" spans="1:25" ht="15.75" customHeight="1" x14ac:dyDescent="0.2">
      <c r="A603" s="182"/>
      <c r="B603" s="175"/>
      <c r="C603" s="176"/>
      <c r="D603" s="176"/>
      <c r="E603" s="176"/>
      <c r="F603" s="123"/>
      <c r="G603" s="123"/>
      <c r="H603" s="123"/>
      <c r="I603" s="123"/>
      <c r="J603" s="174"/>
      <c r="K603" s="182"/>
      <c r="L603" s="123"/>
      <c r="M603" s="123"/>
      <c r="N603" s="123"/>
      <c r="O603" s="123"/>
      <c r="P603" s="123"/>
      <c r="Q603" s="123"/>
      <c r="R603" s="123"/>
      <c r="S603" s="123"/>
      <c r="T603" s="123"/>
      <c r="U603" s="123"/>
      <c r="V603" s="123"/>
      <c r="W603" s="123"/>
      <c r="X603" s="123"/>
      <c r="Y603" s="123"/>
    </row>
    <row r="604" spans="1:25" ht="15.75" customHeight="1" x14ac:dyDescent="0.2">
      <c r="A604" s="182"/>
      <c r="B604" s="175"/>
      <c r="C604" s="176"/>
      <c r="D604" s="176"/>
      <c r="E604" s="176"/>
      <c r="F604" s="123"/>
      <c r="G604" s="123"/>
      <c r="H604" s="123"/>
      <c r="I604" s="123"/>
      <c r="J604" s="174"/>
      <c r="K604" s="182"/>
      <c r="L604" s="123"/>
      <c r="M604" s="123"/>
      <c r="N604" s="123"/>
      <c r="O604" s="123"/>
      <c r="P604" s="123"/>
      <c r="Q604" s="123"/>
      <c r="R604" s="123"/>
      <c r="S604" s="123"/>
      <c r="T604" s="123"/>
      <c r="U604" s="123"/>
      <c r="V604" s="123"/>
      <c r="W604" s="123"/>
      <c r="X604" s="123"/>
      <c r="Y604" s="123"/>
    </row>
    <row r="605" spans="1:25" ht="15.75" customHeight="1" x14ac:dyDescent="0.2">
      <c r="A605" s="182"/>
      <c r="B605" s="175"/>
      <c r="C605" s="176"/>
      <c r="D605" s="176"/>
      <c r="E605" s="176"/>
      <c r="F605" s="123"/>
      <c r="G605" s="123"/>
      <c r="H605" s="123"/>
      <c r="I605" s="123"/>
      <c r="J605" s="174"/>
      <c r="K605" s="182"/>
      <c r="L605" s="123"/>
      <c r="M605" s="123"/>
      <c r="N605" s="123"/>
      <c r="O605" s="123"/>
      <c r="P605" s="123"/>
      <c r="Q605" s="123"/>
      <c r="R605" s="123"/>
      <c r="S605" s="123"/>
      <c r="T605" s="123"/>
      <c r="U605" s="123"/>
      <c r="V605" s="123"/>
      <c r="W605" s="123"/>
      <c r="X605" s="123"/>
      <c r="Y605" s="123"/>
    </row>
    <row r="606" spans="1:25" ht="15.75" customHeight="1" x14ac:dyDescent="0.2">
      <c r="A606" s="182"/>
      <c r="B606" s="175"/>
      <c r="C606" s="176"/>
      <c r="D606" s="176"/>
      <c r="E606" s="176"/>
      <c r="F606" s="123"/>
      <c r="G606" s="123"/>
      <c r="H606" s="123"/>
      <c r="I606" s="123"/>
      <c r="J606" s="174"/>
      <c r="K606" s="182"/>
      <c r="L606" s="123"/>
      <c r="M606" s="123"/>
      <c r="N606" s="123"/>
      <c r="O606" s="123"/>
      <c r="P606" s="123"/>
      <c r="Q606" s="123"/>
      <c r="R606" s="123"/>
      <c r="S606" s="123"/>
      <c r="T606" s="123"/>
      <c r="U606" s="123"/>
      <c r="V606" s="123"/>
      <c r="W606" s="123"/>
      <c r="X606" s="123"/>
      <c r="Y606" s="123"/>
    </row>
    <row r="607" spans="1:25" ht="15.75" customHeight="1" x14ac:dyDescent="0.2">
      <c r="A607" s="182"/>
      <c r="B607" s="175"/>
      <c r="C607" s="176"/>
      <c r="D607" s="176"/>
      <c r="E607" s="176"/>
      <c r="F607" s="123"/>
      <c r="G607" s="123"/>
      <c r="H607" s="123"/>
      <c r="I607" s="123"/>
      <c r="J607" s="174"/>
      <c r="K607" s="182"/>
      <c r="L607" s="123"/>
      <c r="M607" s="123"/>
      <c r="N607" s="123"/>
      <c r="O607" s="123"/>
      <c r="P607" s="123"/>
      <c r="Q607" s="123"/>
      <c r="R607" s="123"/>
      <c r="S607" s="123"/>
      <c r="T607" s="123"/>
      <c r="U607" s="123"/>
      <c r="V607" s="123"/>
      <c r="W607" s="123"/>
      <c r="X607" s="123"/>
      <c r="Y607" s="123"/>
    </row>
    <row r="608" spans="1:25" ht="15.75" customHeight="1" x14ac:dyDescent="0.2">
      <c r="A608" s="182"/>
      <c r="B608" s="175"/>
      <c r="C608" s="176"/>
      <c r="D608" s="176"/>
      <c r="E608" s="176"/>
      <c r="F608" s="123"/>
      <c r="G608" s="123"/>
      <c r="H608" s="123"/>
      <c r="I608" s="123"/>
      <c r="J608" s="174"/>
      <c r="K608" s="182"/>
      <c r="L608" s="123"/>
      <c r="M608" s="123"/>
      <c r="N608" s="123"/>
      <c r="O608" s="123"/>
      <c r="P608" s="123"/>
      <c r="Q608" s="123"/>
      <c r="R608" s="123"/>
      <c r="S608" s="123"/>
      <c r="T608" s="123"/>
      <c r="U608" s="123"/>
      <c r="V608" s="123"/>
      <c r="W608" s="123"/>
      <c r="X608" s="123"/>
      <c r="Y608" s="123"/>
    </row>
    <row r="609" spans="1:25" ht="15.75" customHeight="1" x14ac:dyDescent="0.2">
      <c r="A609" s="182"/>
      <c r="B609" s="175"/>
      <c r="C609" s="176"/>
      <c r="D609" s="176"/>
      <c r="E609" s="176"/>
      <c r="F609" s="123"/>
      <c r="G609" s="123"/>
      <c r="H609" s="123"/>
      <c r="I609" s="123"/>
      <c r="J609" s="174"/>
      <c r="K609" s="182"/>
      <c r="L609" s="123"/>
      <c r="M609" s="123"/>
      <c r="N609" s="123"/>
      <c r="O609" s="123"/>
      <c r="P609" s="123"/>
      <c r="Q609" s="123"/>
      <c r="R609" s="123"/>
      <c r="S609" s="123"/>
      <c r="T609" s="123"/>
      <c r="U609" s="123"/>
      <c r="V609" s="123"/>
      <c r="W609" s="123"/>
      <c r="X609" s="123"/>
      <c r="Y609" s="123"/>
    </row>
    <row r="610" spans="1:25" ht="15.75" customHeight="1" x14ac:dyDescent="0.2">
      <c r="A610" s="182"/>
      <c r="B610" s="175"/>
      <c r="C610" s="176"/>
      <c r="D610" s="176"/>
      <c r="E610" s="176"/>
      <c r="F610" s="123"/>
      <c r="G610" s="123"/>
      <c r="H610" s="123"/>
      <c r="I610" s="123"/>
      <c r="J610" s="174"/>
      <c r="K610" s="182"/>
      <c r="L610" s="123"/>
      <c r="M610" s="123"/>
      <c r="N610" s="123"/>
      <c r="O610" s="123"/>
      <c r="P610" s="123"/>
      <c r="Q610" s="123"/>
      <c r="R610" s="123"/>
      <c r="S610" s="123"/>
      <c r="T610" s="123"/>
      <c r="U610" s="123"/>
      <c r="V610" s="123"/>
      <c r="W610" s="123"/>
      <c r="X610" s="123"/>
      <c r="Y610" s="123"/>
    </row>
    <row r="611" spans="1:25" ht="15.75" customHeight="1" x14ac:dyDescent="0.2">
      <c r="A611" s="182"/>
      <c r="B611" s="175"/>
      <c r="C611" s="176"/>
      <c r="D611" s="176"/>
      <c r="E611" s="176"/>
      <c r="F611" s="123"/>
      <c r="G611" s="123"/>
      <c r="H611" s="123"/>
      <c r="I611" s="123"/>
      <c r="J611" s="174"/>
      <c r="K611" s="182"/>
      <c r="L611" s="123"/>
      <c r="M611" s="123"/>
      <c r="N611" s="123"/>
      <c r="O611" s="123"/>
      <c r="P611" s="123"/>
      <c r="Q611" s="123"/>
      <c r="R611" s="123"/>
      <c r="S611" s="123"/>
      <c r="T611" s="123"/>
      <c r="U611" s="123"/>
      <c r="V611" s="123"/>
      <c r="W611" s="123"/>
      <c r="X611" s="123"/>
      <c r="Y611" s="123"/>
    </row>
    <row r="612" spans="1:25" ht="15.75" customHeight="1" x14ac:dyDescent="0.2">
      <c r="A612" s="182"/>
      <c r="B612" s="175"/>
      <c r="C612" s="176"/>
      <c r="D612" s="176"/>
      <c r="E612" s="176"/>
      <c r="F612" s="123"/>
      <c r="G612" s="123"/>
      <c r="H612" s="123"/>
      <c r="I612" s="123"/>
      <c r="J612" s="174"/>
      <c r="K612" s="182"/>
      <c r="L612" s="123"/>
      <c r="M612" s="123"/>
      <c r="N612" s="123"/>
      <c r="O612" s="123"/>
      <c r="P612" s="123"/>
      <c r="Q612" s="123"/>
      <c r="R612" s="123"/>
      <c r="S612" s="123"/>
      <c r="T612" s="123"/>
      <c r="U612" s="123"/>
      <c r="V612" s="123"/>
      <c r="W612" s="123"/>
      <c r="X612" s="123"/>
      <c r="Y612" s="123"/>
    </row>
    <row r="613" spans="1:25" ht="15.75" customHeight="1" x14ac:dyDescent="0.2">
      <c r="A613" s="182"/>
      <c r="B613" s="175"/>
      <c r="C613" s="176"/>
      <c r="D613" s="176"/>
      <c r="E613" s="176"/>
      <c r="F613" s="123"/>
      <c r="G613" s="123"/>
      <c r="H613" s="123"/>
      <c r="I613" s="123"/>
      <c r="J613" s="174"/>
      <c r="K613" s="182"/>
      <c r="L613" s="123"/>
      <c r="M613" s="123"/>
      <c r="N613" s="123"/>
      <c r="O613" s="123"/>
      <c r="P613" s="123"/>
      <c r="Q613" s="123"/>
      <c r="R613" s="123"/>
      <c r="S613" s="123"/>
      <c r="T613" s="123"/>
      <c r="U613" s="123"/>
      <c r="V613" s="123"/>
      <c r="W613" s="123"/>
      <c r="X613" s="123"/>
      <c r="Y613" s="123"/>
    </row>
    <row r="614" spans="1:25" ht="15.75" customHeight="1" x14ac:dyDescent="0.2">
      <c r="A614" s="182"/>
      <c r="B614" s="175"/>
      <c r="C614" s="176"/>
      <c r="D614" s="176"/>
      <c r="E614" s="176"/>
      <c r="F614" s="123"/>
      <c r="G614" s="123"/>
      <c r="H614" s="123"/>
      <c r="I614" s="123"/>
      <c r="J614" s="174"/>
      <c r="K614" s="182"/>
      <c r="L614" s="123"/>
      <c r="M614" s="123"/>
      <c r="N614" s="123"/>
      <c r="O614" s="123"/>
      <c r="P614" s="123"/>
      <c r="Q614" s="123"/>
      <c r="R614" s="123"/>
      <c r="S614" s="123"/>
      <c r="T614" s="123"/>
      <c r="U614" s="123"/>
      <c r="V614" s="123"/>
      <c r="W614" s="123"/>
      <c r="X614" s="123"/>
      <c r="Y614" s="123"/>
    </row>
    <row r="615" spans="1:25" ht="15.75" customHeight="1" x14ac:dyDescent="0.2">
      <c r="A615" s="182"/>
      <c r="B615" s="175"/>
      <c r="C615" s="176"/>
      <c r="D615" s="176"/>
      <c r="E615" s="176"/>
      <c r="F615" s="123"/>
      <c r="G615" s="123"/>
      <c r="H615" s="123"/>
      <c r="I615" s="123"/>
      <c r="J615" s="174"/>
      <c r="K615" s="182"/>
      <c r="L615" s="123"/>
      <c r="M615" s="123"/>
      <c r="N615" s="123"/>
      <c r="O615" s="123"/>
      <c r="P615" s="123"/>
      <c r="Q615" s="123"/>
      <c r="R615" s="123"/>
      <c r="S615" s="123"/>
      <c r="T615" s="123"/>
      <c r="U615" s="123"/>
      <c r="V615" s="123"/>
      <c r="W615" s="123"/>
      <c r="X615" s="123"/>
      <c r="Y615" s="123"/>
    </row>
    <row r="616" spans="1:25" ht="15.75" customHeight="1" x14ac:dyDescent="0.2">
      <c r="A616" s="182"/>
      <c r="B616" s="175"/>
      <c r="C616" s="176"/>
      <c r="D616" s="176"/>
      <c r="E616" s="176"/>
      <c r="F616" s="123"/>
      <c r="G616" s="123"/>
      <c r="H616" s="123"/>
      <c r="I616" s="123"/>
      <c r="J616" s="174"/>
      <c r="K616" s="182"/>
      <c r="L616" s="123"/>
      <c r="M616" s="123"/>
      <c r="N616" s="123"/>
      <c r="O616" s="123"/>
      <c r="P616" s="123"/>
      <c r="Q616" s="123"/>
      <c r="R616" s="123"/>
      <c r="S616" s="123"/>
      <c r="T616" s="123"/>
      <c r="U616" s="123"/>
      <c r="V616" s="123"/>
      <c r="W616" s="123"/>
      <c r="X616" s="123"/>
      <c r="Y616" s="123"/>
    </row>
    <row r="617" spans="1:25" ht="15.75" customHeight="1" x14ac:dyDescent="0.2">
      <c r="A617" s="182"/>
      <c r="B617" s="175"/>
      <c r="C617" s="176"/>
      <c r="D617" s="176"/>
      <c r="E617" s="176"/>
      <c r="F617" s="123"/>
      <c r="G617" s="123"/>
      <c r="H617" s="123"/>
      <c r="I617" s="123"/>
      <c r="J617" s="174"/>
      <c r="K617" s="182"/>
      <c r="L617" s="123"/>
      <c r="M617" s="123"/>
      <c r="N617" s="123"/>
      <c r="O617" s="123"/>
      <c r="P617" s="123"/>
      <c r="Q617" s="123"/>
      <c r="R617" s="123"/>
      <c r="S617" s="123"/>
      <c r="T617" s="123"/>
      <c r="U617" s="123"/>
      <c r="V617" s="123"/>
      <c r="W617" s="123"/>
      <c r="X617" s="123"/>
      <c r="Y617" s="123"/>
    </row>
    <row r="618" spans="1:25" ht="15.75" customHeight="1" x14ac:dyDescent="0.2">
      <c r="A618" s="182"/>
      <c r="B618" s="175"/>
      <c r="C618" s="176"/>
      <c r="D618" s="176"/>
      <c r="E618" s="176"/>
      <c r="F618" s="123"/>
      <c r="G618" s="123"/>
      <c r="H618" s="123"/>
      <c r="I618" s="123"/>
      <c r="J618" s="174"/>
      <c r="K618" s="182"/>
      <c r="L618" s="123"/>
      <c r="M618" s="123"/>
      <c r="N618" s="123"/>
      <c r="O618" s="123"/>
      <c r="P618" s="123"/>
      <c r="Q618" s="123"/>
      <c r="R618" s="123"/>
      <c r="S618" s="123"/>
      <c r="T618" s="123"/>
      <c r="U618" s="123"/>
      <c r="V618" s="123"/>
      <c r="W618" s="123"/>
      <c r="X618" s="123"/>
      <c r="Y618" s="123"/>
    </row>
    <row r="619" spans="1:25" ht="15.75" customHeight="1" x14ac:dyDescent="0.2">
      <c r="A619" s="182"/>
      <c r="B619" s="175"/>
      <c r="C619" s="176"/>
      <c r="D619" s="176"/>
      <c r="E619" s="176"/>
      <c r="F619" s="123"/>
      <c r="G619" s="123"/>
      <c r="H619" s="123"/>
      <c r="I619" s="123"/>
      <c r="J619" s="174"/>
      <c r="K619" s="182"/>
      <c r="L619" s="123"/>
      <c r="M619" s="123"/>
      <c r="N619" s="123"/>
      <c r="O619" s="123"/>
      <c r="P619" s="123"/>
      <c r="Q619" s="123"/>
      <c r="R619" s="123"/>
      <c r="S619" s="123"/>
      <c r="T619" s="123"/>
      <c r="U619" s="123"/>
      <c r="V619" s="123"/>
      <c r="W619" s="123"/>
      <c r="X619" s="123"/>
      <c r="Y619" s="123"/>
    </row>
    <row r="620" spans="1:25" ht="15.75" customHeight="1" x14ac:dyDescent="0.2">
      <c r="A620" s="182"/>
      <c r="B620" s="175"/>
      <c r="C620" s="176"/>
      <c r="D620" s="176"/>
      <c r="E620" s="176"/>
      <c r="F620" s="123"/>
      <c r="G620" s="123"/>
      <c r="H620" s="123"/>
      <c r="I620" s="123"/>
      <c r="J620" s="174"/>
      <c r="K620" s="182"/>
      <c r="L620" s="123"/>
      <c r="M620" s="123"/>
      <c r="N620" s="123"/>
      <c r="O620" s="123"/>
      <c r="P620" s="123"/>
      <c r="Q620" s="123"/>
      <c r="R620" s="123"/>
      <c r="S620" s="123"/>
      <c r="T620" s="123"/>
      <c r="U620" s="123"/>
      <c r="V620" s="123"/>
      <c r="W620" s="123"/>
      <c r="X620" s="123"/>
      <c r="Y620" s="123"/>
    </row>
    <row r="621" spans="1:25" ht="15.75" customHeight="1" x14ac:dyDescent="0.2">
      <c r="A621" s="182"/>
      <c r="B621" s="175"/>
      <c r="C621" s="176"/>
      <c r="D621" s="176"/>
      <c r="E621" s="176"/>
      <c r="F621" s="123"/>
      <c r="G621" s="123"/>
      <c r="H621" s="123"/>
      <c r="I621" s="123"/>
      <c r="J621" s="174"/>
      <c r="K621" s="182"/>
      <c r="L621" s="123"/>
      <c r="M621" s="123"/>
      <c r="N621" s="123"/>
      <c r="O621" s="123"/>
      <c r="P621" s="123"/>
      <c r="Q621" s="123"/>
      <c r="R621" s="123"/>
      <c r="S621" s="123"/>
      <c r="T621" s="123"/>
      <c r="U621" s="123"/>
      <c r="V621" s="123"/>
      <c r="W621" s="123"/>
      <c r="X621" s="123"/>
      <c r="Y621" s="123"/>
    </row>
    <row r="622" spans="1:25" ht="15.75" customHeight="1" x14ac:dyDescent="0.2">
      <c r="A622" s="182"/>
      <c r="B622" s="175"/>
      <c r="C622" s="176"/>
      <c r="D622" s="176"/>
      <c r="E622" s="176"/>
      <c r="F622" s="123"/>
      <c r="G622" s="123"/>
      <c r="H622" s="123"/>
      <c r="I622" s="123"/>
      <c r="J622" s="174"/>
      <c r="K622" s="182"/>
      <c r="L622" s="123"/>
      <c r="M622" s="123"/>
      <c r="N622" s="123"/>
      <c r="O622" s="123"/>
      <c r="P622" s="123"/>
      <c r="Q622" s="123"/>
      <c r="R622" s="123"/>
      <c r="S622" s="123"/>
      <c r="T622" s="123"/>
      <c r="U622" s="123"/>
      <c r="V622" s="123"/>
      <c r="W622" s="123"/>
      <c r="X622" s="123"/>
      <c r="Y622" s="123"/>
    </row>
    <row r="623" spans="1:25" ht="15.75" customHeight="1" x14ac:dyDescent="0.2">
      <c r="A623" s="182"/>
      <c r="B623" s="175"/>
      <c r="C623" s="176"/>
      <c r="D623" s="176"/>
      <c r="E623" s="176"/>
      <c r="F623" s="123"/>
      <c r="G623" s="123"/>
      <c r="H623" s="123"/>
      <c r="I623" s="123"/>
      <c r="J623" s="174"/>
      <c r="K623" s="182"/>
      <c r="L623" s="123"/>
      <c r="M623" s="123"/>
      <c r="N623" s="123"/>
      <c r="O623" s="123"/>
      <c r="P623" s="123"/>
      <c r="Q623" s="123"/>
      <c r="R623" s="123"/>
      <c r="S623" s="123"/>
      <c r="T623" s="123"/>
      <c r="U623" s="123"/>
      <c r="V623" s="123"/>
      <c r="W623" s="123"/>
      <c r="X623" s="123"/>
      <c r="Y623" s="123"/>
    </row>
    <row r="624" spans="1:25" ht="15.75" customHeight="1" x14ac:dyDescent="0.2">
      <c r="A624" s="182"/>
      <c r="B624" s="175"/>
      <c r="C624" s="176"/>
      <c r="D624" s="176"/>
      <c r="E624" s="176"/>
      <c r="F624" s="123"/>
      <c r="G624" s="123"/>
      <c r="H624" s="123"/>
      <c r="I624" s="123"/>
      <c r="J624" s="174"/>
      <c r="K624" s="182"/>
      <c r="L624" s="123"/>
      <c r="M624" s="123"/>
      <c r="N624" s="123"/>
      <c r="O624" s="123"/>
      <c r="P624" s="123"/>
      <c r="Q624" s="123"/>
      <c r="R624" s="123"/>
      <c r="S624" s="123"/>
      <c r="T624" s="123"/>
      <c r="U624" s="123"/>
      <c r="V624" s="123"/>
      <c r="W624" s="123"/>
      <c r="X624" s="123"/>
      <c r="Y624" s="123"/>
    </row>
    <row r="625" spans="1:25" ht="15.75" customHeight="1" x14ac:dyDescent="0.2">
      <c r="A625" s="182"/>
      <c r="B625" s="175"/>
      <c r="C625" s="176"/>
      <c r="D625" s="176"/>
      <c r="E625" s="176"/>
      <c r="F625" s="123"/>
      <c r="G625" s="123"/>
      <c r="H625" s="123"/>
      <c r="I625" s="123"/>
      <c r="J625" s="174"/>
      <c r="K625" s="182"/>
      <c r="L625" s="123"/>
      <c r="M625" s="123"/>
      <c r="N625" s="123"/>
      <c r="O625" s="123"/>
      <c r="P625" s="123"/>
      <c r="Q625" s="123"/>
      <c r="R625" s="123"/>
      <c r="S625" s="123"/>
      <c r="T625" s="123"/>
      <c r="U625" s="123"/>
      <c r="V625" s="123"/>
      <c r="W625" s="123"/>
      <c r="X625" s="123"/>
      <c r="Y625" s="123"/>
    </row>
    <row r="626" spans="1:25" ht="15.75" customHeight="1" x14ac:dyDescent="0.2">
      <c r="A626" s="182"/>
      <c r="B626" s="175"/>
      <c r="C626" s="176"/>
      <c r="D626" s="176"/>
      <c r="E626" s="176"/>
      <c r="F626" s="123"/>
      <c r="G626" s="123"/>
      <c r="H626" s="123"/>
      <c r="I626" s="123"/>
      <c r="J626" s="174"/>
      <c r="K626" s="182"/>
      <c r="L626" s="123"/>
      <c r="M626" s="123"/>
      <c r="N626" s="123"/>
      <c r="O626" s="123"/>
      <c r="P626" s="123"/>
      <c r="Q626" s="123"/>
      <c r="R626" s="123"/>
      <c r="S626" s="123"/>
      <c r="T626" s="123"/>
      <c r="U626" s="123"/>
      <c r="V626" s="123"/>
      <c r="W626" s="123"/>
      <c r="X626" s="123"/>
      <c r="Y626" s="123"/>
    </row>
    <row r="627" spans="1:25" ht="15.75" customHeight="1" x14ac:dyDescent="0.2">
      <c r="A627" s="182"/>
      <c r="B627" s="175"/>
      <c r="C627" s="176"/>
      <c r="D627" s="176"/>
      <c r="E627" s="176"/>
      <c r="F627" s="123"/>
      <c r="G627" s="123"/>
      <c r="H627" s="123"/>
      <c r="I627" s="123"/>
      <c r="J627" s="174"/>
      <c r="K627" s="182"/>
      <c r="L627" s="123"/>
      <c r="M627" s="123"/>
      <c r="N627" s="123"/>
      <c r="O627" s="123"/>
      <c r="P627" s="123"/>
      <c r="Q627" s="123"/>
      <c r="R627" s="123"/>
      <c r="S627" s="123"/>
      <c r="T627" s="123"/>
      <c r="U627" s="123"/>
      <c r="V627" s="123"/>
      <c r="W627" s="123"/>
      <c r="X627" s="123"/>
      <c r="Y627" s="123"/>
    </row>
    <row r="628" spans="1:25" ht="15.75" customHeight="1" x14ac:dyDescent="0.2">
      <c r="A628" s="182"/>
      <c r="B628" s="175"/>
      <c r="C628" s="176"/>
      <c r="D628" s="176"/>
      <c r="E628" s="176"/>
      <c r="F628" s="123"/>
      <c r="G628" s="123"/>
      <c r="H628" s="123"/>
      <c r="I628" s="123"/>
      <c r="J628" s="174"/>
      <c r="K628" s="182"/>
      <c r="L628" s="123"/>
      <c r="M628" s="123"/>
      <c r="N628" s="123"/>
      <c r="O628" s="123"/>
      <c r="P628" s="123"/>
      <c r="Q628" s="123"/>
      <c r="R628" s="123"/>
      <c r="S628" s="123"/>
      <c r="T628" s="123"/>
      <c r="U628" s="123"/>
      <c r="V628" s="123"/>
      <c r="W628" s="123"/>
      <c r="X628" s="123"/>
      <c r="Y628" s="123"/>
    </row>
    <row r="629" spans="1:25" ht="15.75" customHeight="1" x14ac:dyDescent="0.2">
      <c r="A629" s="182"/>
      <c r="B629" s="175"/>
      <c r="C629" s="176"/>
      <c r="D629" s="176"/>
      <c r="E629" s="176"/>
      <c r="F629" s="123"/>
      <c r="G629" s="123"/>
      <c r="H629" s="123"/>
      <c r="I629" s="123"/>
      <c r="J629" s="174"/>
      <c r="K629" s="182"/>
      <c r="L629" s="123"/>
      <c r="M629" s="123"/>
      <c r="N629" s="123"/>
      <c r="O629" s="123"/>
      <c r="P629" s="123"/>
      <c r="Q629" s="123"/>
      <c r="R629" s="123"/>
      <c r="S629" s="123"/>
      <c r="T629" s="123"/>
      <c r="U629" s="123"/>
      <c r="V629" s="123"/>
      <c r="W629" s="123"/>
      <c r="X629" s="123"/>
      <c r="Y629" s="123"/>
    </row>
    <row r="630" spans="1:25" ht="15.75" customHeight="1" x14ac:dyDescent="0.2">
      <c r="A630" s="182"/>
      <c r="B630" s="175"/>
      <c r="C630" s="176"/>
      <c r="D630" s="176"/>
      <c r="E630" s="176"/>
      <c r="F630" s="123"/>
      <c r="G630" s="123"/>
      <c r="H630" s="123"/>
      <c r="I630" s="123"/>
      <c r="J630" s="174"/>
      <c r="K630" s="182"/>
      <c r="L630" s="123"/>
      <c r="M630" s="123"/>
      <c r="N630" s="123"/>
      <c r="O630" s="123"/>
      <c r="P630" s="123"/>
      <c r="Q630" s="123"/>
      <c r="R630" s="123"/>
      <c r="S630" s="123"/>
      <c r="T630" s="123"/>
      <c r="U630" s="123"/>
      <c r="V630" s="123"/>
      <c r="W630" s="123"/>
      <c r="X630" s="123"/>
      <c r="Y630" s="123"/>
    </row>
    <row r="631" spans="1:25" ht="15.75" customHeight="1" x14ac:dyDescent="0.2">
      <c r="A631" s="182"/>
      <c r="B631" s="175"/>
      <c r="C631" s="176"/>
      <c r="D631" s="176"/>
      <c r="E631" s="176"/>
      <c r="F631" s="123"/>
      <c r="G631" s="123"/>
      <c r="H631" s="123"/>
      <c r="I631" s="123"/>
      <c r="J631" s="174"/>
      <c r="K631" s="182"/>
      <c r="L631" s="123"/>
      <c r="M631" s="123"/>
      <c r="N631" s="123"/>
      <c r="O631" s="123"/>
      <c r="P631" s="123"/>
      <c r="Q631" s="123"/>
      <c r="R631" s="123"/>
      <c r="S631" s="123"/>
      <c r="T631" s="123"/>
      <c r="U631" s="123"/>
      <c r="V631" s="123"/>
      <c r="W631" s="123"/>
      <c r="X631" s="123"/>
      <c r="Y631" s="123"/>
    </row>
    <row r="632" spans="1:25" ht="15.75" customHeight="1" x14ac:dyDescent="0.2">
      <c r="A632" s="182"/>
      <c r="B632" s="175"/>
      <c r="C632" s="176"/>
      <c r="D632" s="176"/>
      <c r="E632" s="176"/>
      <c r="F632" s="123"/>
      <c r="G632" s="123"/>
      <c r="H632" s="123"/>
      <c r="I632" s="123"/>
      <c r="J632" s="174"/>
      <c r="K632" s="182"/>
      <c r="L632" s="123"/>
      <c r="M632" s="123"/>
      <c r="N632" s="123"/>
      <c r="O632" s="123"/>
      <c r="P632" s="123"/>
      <c r="Q632" s="123"/>
      <c r="R632" s="123"/>
      <c r="S632" s="123"/>
      <c r="T632" s="123"/>
      <c r="U632" s="123"/>
      <c r="V632" s="123"/>
      <c r="W632" s="123"/>
      <c r="X632" s="123"/>
      <c r="Y632" s="123"/>
    </row>
    <row r="633" spans="1:25" ht="15.75" customHeight="1" x14ac:dyDescent="0.2">
      <c r="A633" s="182"/>
      <c r="B633" s="175"/>
      <c r="C633" s="176"/>
      <c r="D633" s="176"/>
      <c r="E633" s="176"/>
      <c r="F633" s="123"/>
      <c r="G633" s="123"/>
      <c r="H633" s="123"/>
      <c r="I633" s="123"/>
      <c r="J633" s="174"/>
      <c r="K633" s="182"/>
      <c r="L633" s="123"/>
      <c r="M633" s="123"/>
      <c r="N633" s="123"/>
      <c r="O633" s="123"/>
      <c r="P633" s="123"/>
      <c r="Q633" s="123"/>
      <c r="R633" s="123"/>
      <c r="S633" s="123"/>
      <c r="T633" s="123"/>
      <c r="U633" s="123"/>
      <c r="V633" s="123"/>
      <c r="W633" s="123"/>
      <c r="X633" s="123"/>
      <c r="Y633" s="123"/>
    </row>
    <row r="634" spans="1:25" ht="15.75" customHeight="1" x14ac:dyDescent="0.2">
      <c r="A634" s="182"/>
      <c r="B634" s="175"/>
      <c r="C634" s="176"/>
      <c r="D634" s="176"/>
      <c r="E634" s="176"/>
      <c r="F634" s="123"/>
      <c r="G634" s="123"/>
      <c r="H634" s="123"/>
      <c r="I634" s="123"/>
      <c r="J634" s="174"/>
      <c r="K634" s="182"/>
      <c r="L634" s="123"/>
      <c r="M634" s="123"/>
      <c r="N634" s="123"/>
      <c r="O634" s="123"/>
      <c r="P634" s="123"/>
      <c r="Q634" s="123"/>
      <c r="R634" s="123"/>
      <c r="S634" s="123"/>
      <c r="T634" s="123"/>
      <c r="U634" s="123"/>
      <c r="V634" s="123"/>
      <c r="W634" s="123"/>
      <c r="X634" s="123"/>
      <c r="Y634" s="123"/>
    </row>
    <row r="635" spans="1:25" ht="15.75" customHeight="1" x14ac:dyDescent="0.2">
      <c r="A635" s="182"/>
      <c r="B635" s="175"/>
      <c r="C635" s="176"/>
      <c r="D635" s="176"/>
      <c r="E635" s="176"/>
      <c r="F635" s="123"/>
      <c r="G635" s="123"/>
      <c r="H635" s="123"/>
      <c r="I635" s="123"/>
      <c r="J635" s="174"/>
      <c r="K635" s="182"/>
      <c r="L635" s="123"/>
      <c r="M635" s="123"/>
      <c r="N635" s="123"/>
      <c r="O635" s="123"/>
      <c r="P635" s="123"/>
      <c r="Q635" s="123"/>
      <c r="R635" s="123"/>
      <c r="S635" s="123"/>
      <c r="T635" s="123"/>
      <c r="U635" s="123"/>
      <c r="V635" s="123"/>
      <c r="W635" s="123"/>
      <c r="X635" s="123"/>
      <c r="Y635" s="123"/>
    </row>
    <row r="636" spans="1:25" ht="15.75" customHeight="1" x14ac:dyDescent="0.2">
      <c r="A636" s="182"/>
      <c r="B636" s="175"/>
      <c r="C636" s="176"/>
      <c r="D636" s="176"/>
      <c r="E636" s="176"/>
      <c r="F636" s="123"/>
      <c r="G636" s="123"/>
      <c r="H636" s="123"/>
      <c r="I636" s="123"/>
      <c r="J636" s="174"/>
      <c r="K636" s="182"/>
      <c r="L636" s="123"/>
      <c r="M636" s="123"/>
      <c r="N636" s="123"/>
      <c r="O636" s="123"/>
      <c r="P636" s="123"/>
      <c r="Q636" s="123"/>
      <c r="R636" s="123"/>
      <c r="S636" s="123"/>
      <c r="T636" s="123"/>
      <c r="U636" s="123"/>
      <c r="V636" s="123"/>
      <c r="W636" s="123"/>
      <c r="X636" s="123"/>
      <c r="Y636" s="123"/>
    </row>
    <row r="637" spans="1:25" ht="15.75" customHeight="1" x14ac:dyDescent="0.2">
      <c r="A637" s="182"/>
      <c r="B637" s="175"/>
      <c r="C637" s="176"/>
      <c r="D637" s="176"/>
      <c r="E637" s="176"/>
      <c r="F637" s="123"/>
      <c r="G637" s="123"/>
      <c r="H637" s="123"/>
      <c r="I637" s="123"/>
      <c r="J637" s="174"/>
      <c r="K637" s="182"/>
      <c r="L637" s="123"/>
      <c r="M637" s="123"/>
      <c r="N637" s="123"/>
      <c r="O637" s="123"/>
      <c r="P637" s="123"/>
      <c r="Q637" s="123"/>
      <c r="R637" s="123"/>
      <c r="S637" s="123"/>
      <c r="T637" s="123"/>
      <c r="U637" s="123"/>
      <c r="V637" s="123"/>
      <c r="W637" s="123"/>
      <c r="X637" s="123"/>
      <c r="Y637" s="123"/>
    </row>
    <row r="638" spans="1:25" ht="15.75" customHeight="1" x14ac:dyDescent="0.2">
      <c r="A638" s="182"/>
      <c r="B638" s="175"/>
      <c r="C638" s="176"/>
      <c r="D638" s="176"/>
      <c r="E638" s="176"/>
      <c r="F638" s="123"/>
      <c r="G638" s="123"/>
      <c r="H638" s="123"/>
      <c r="I638" s="123"/>
      <c r="J638" s="174"/>
      <c r="K638" s="182"/>
      <c r="L638" s="123"/>
      <c r="M638" s="123"/>
      <c r="N638" s="123"/>
      <c r="O638" s="123"/>
      <c r="P638" s="123"/>
      <c r="Q638" s="123"/>
      <c r="R638" s="123"/>
      <c r="S638" s="123"/>
      <c r="T638" s="123"/>
      <c r="U638" s="123"/>
      <c r="V638" s="123"/>
      <c r="W638" s="123"/>
      <c r="X638" s="123"/>
      <c r="Y638" s="123"/>
    </row>
    <row r="639" spans="1:25" ht="15.75" customHeight="1" x14ac:dyDescent="0.2">
      <c r="A639" s="182"/>
      <c r="B639" s="175"/>
      <c r="C639" s="176"/>
      <c r="D639" s="176"/>
      <c r="E639" s="176"/>
      <c r="F639" s="123"/>
      <c r="G639" s="123"/>
      <c r="H639" s="123"/>
      <c r="I639" s="123"/>
      <c r="J639" s="174"/>
      <c r="K639" s="182"/>
      <c r="L639" s="123"/>
      <c r="M639" s="123"/>
      <c r="N639" s="123"/>
      <c r="O639" s="123"/>
      <c r="P639" s="123"/>
      <c r="Q639" s="123"/>
      <c r="R639" s="123"/>
      <c r="S639" s="123"/>
      <c r="T639" s="123"/>
      <c r="U639" s="123"/>
      <c r="V639" s="123"/>
      <c r="W639" s="123"/>
      <c r="X639" s="123"/>
      <c r="Y639" s="123"/>
    </row>
    <row r="640" spans="1:25" ht="15.75" customHeight="1" x14ac:dyDescent="0.2">
      <c r="A640" s="182"/>
      <c r="B640" s="175"/>
      <c r="C640" s="176"/>
      <c r="D640" s="176"/>
      <c r="E640" s="176"/>
      <c r="F640" s="123"/>
      <c r="G640" s="123"/>
      <c r="H640" s="123"/>
      <c r="I640" s="123"/>
      <c r="J640" s="174"/>
      <c r="K640" s="182"/>
      <c r="L640" s="123"/>
      <c r="M640" s="123"/>
      <c r="N640" s="123"/>
      <c r="O640" s="123"/>
      <c r="P640" s="123"/>
      <c r="Q640" s="123"/>
      <c r="R640" s="123"/>
      <c r="S640" s="123"/>
      <c r="T640" s="123"/>
      <c r="U640" s="123"/>
      <c r="V640" s="123"/>
      <c r="W640" s="123"/>
      <c r="X640" s="123"/>
      <c r="Y640" s="123"/>
    </row>
    <row r="641" spans="1:25" ht="15.75" customHeight="1" x14ac:dyDescent="0.2">
      <c r="A641" s="182"/>
      <c r="B641" s="175"/>
      <c r="C641" s="176"/>
      <c r="D641" s="176"/>
      <c r="E641" s="176"/>
      <c r="F641" s="123"/>
      <c r="G641" s="123"/>
      <c r="H641" s="123"/>
      <c r="I641" s="123"/>
      <c r="J641" s="174"/>
      <c r="K641" s="182"/>
      <c r="L641" s="123"/>
      <c r="M641" s="123"/>
      <c r="N641" s="123"/>
      <c r="O641" s="123"/>
      <c r="P641" s="123"/>
      <c r="Q641" s="123"/>
      <c r="R641" s="123"/>
      <c r="S641" s="123"/>
      <c r="T641" s="123"/>
      <c r="U641" s="123"/>
      <c r="V641" s="123"/>
      <c r="W641" s="123"/>
      <c r="X641" s="123"/>
      <c r="Y641" s="123"/>
    </row>
    <row r="642" spans="1:25" ht="15.75" customHeight="1" x14ac:dyDescent="0.2">
      <c r="A642" s="182"/>
      <c r="B642" s="175"/>
      <c r="C642" s="176"/>
      <c r="D642" s="176"/>
      <c r="E642" s="176"/>
      <c r="F642" s="123"/>
      <c r="G642" s="123"/>
      <c r="H642" s="123"/>
      <c r="I642" s="123"/>
      <c r="J642" s="174"/>
      <c r="K642" s="182"/>
      <c r="L642" s="123"/>
      <c r="M642" s="123"/>
      <c r="N642" s="123"/>
      <c r="O642" s="123"/>
      <c r="P642" s="123"/>
      <c r="Q642" s="123"/>
      <c r="R642" s="123"/>
      <c r="S642" s="123"/>
      <c r="T642" s="123"/>
      <c r="U642" s="123"/>
      <c r="V642" s="123"/>
      <c r="W642" s="123"/>
      <c r="X642" s="123"/>
      <c r="Y642" s="123"/>
    </row>
    <row r="643" spans="1:25" ht="15.75" customHeight="1" x14ac:dyDescent="0.2">
      <c r="A643" s="182"/>
      <c r="B643" s="175"/>
      <c r="C643" s="176"/>
      <c r="D643" s="176"/>
      <c r="E643" s="176"/>
      <c r="F643" s="123"/>
      <c r="G643" s="123"/>
      <c r="H643" s="123"/>
      <c r="I643" s="123"/>
      <c r="J643" s="174"/>
      <c r="K643" s="182"/>
      <c r="L643" s="123"/>
      <c r="M643" s="123"/>
      <c r="N643" s="123"/>
      <c r="O643" s="123"/>
      <c r="P643" s="123"/>
      <c r="Q643" s="123"/>
      <c r="R643" s="123"/>
      <c r="S643" s="123"/>
      <c r="T643" s="123"/>
      <c r="U643" s="123"/>
      <c r="V643" s="123"/>
      <c r="W643" s="123"/>
      <c r="X643" s="123"/>
      <c r="Y643" s="123"/>
    </row>
    <row r="644" spans="1:25" ht="15.75" customHeight="1" x14ac:dyDescent="0.2">
      <c r="A644" s="182"/>
      <c r="B644" s="175"/>
      <c r="C644" s="176"/>
      <c r="D644" s="176"/>
      <c r="E644" s="176"/>
      <c r="F644" s="123"/>
      <c r="G644" s="123"/>
      <c r="H644" s="123"/>
      <c r="I644" s="123"/>
      <c r="J644" s="174"/>
      <c r="K644" s="182"/>
      <c r="L644" s="123"/>
      <c r="M644" s="123"/>
      <c r="N644" s="123"/>
      <c r="O644" s="123"/>
      <c r="P644" s="123"/>
      <c r="Q644" s="123"/>
      <c r="R644" s="123"/>
      <c r="S644" s="123"/>
      <c r="T644" s="123"/>
      <c r="U644" s="123"/>
      <c r="V644" s="123"/>
      <c r="W644" s="123"/>
      <c r="X644" s="123"/>
      <c r="Y644" s="123"/>
    </row>
    <row r="645" spans="1:25" ht="15.75" customHeight="1" x14ac:dyDescent="0.2">
      <c r="A645" s="182"/>
      <c r="B645" s="175"/>
      <c r="C645" s="176"/>
      <c r="D645" s="176"/>
      <c r="E645" s="176"/>
      <c r="F645" s="123"/>
      <c r="G645" s="123"/>
      <c r="H645" s="123"/>
      <c r="I645" s="123"/>
      <c r="J645" s="174"/>
      <c r="K645" s="182"/>
      <c r="L645" s="123"/>
      <c r="M645" s="123"/>
      <c r="N645" s="123"/>
      <c r="O645" s="123"/>
      <c r="P645" s="123"/>
      <c r="Q645" s="123"/>
      <c r="R645" s="123"/>
      <c r="S645" s="123"/>
      <c r="T645" s="123"/>
      <c r="U645" s="123"/>
      <c r="V645" s="123"/>
      <c r="W645" s="123"/>
      <c r="X645" s="123"/>
      <c r="Y645" s="123"/>
    </row>
    <row r="646" spans="1:25" ht="15.75" customHeight="1" x14ac:dyDescent="0.2">
      <c r="A646" s="182"/>
      <c r="B646" s="175"/>
      <c r="C646" s="176"/>
      <c r="D646" s="176"/>
      <c r="E646" s="176"/>
      <c r="F646" s="123"/>
      <c r="G646" s="123"/>
      <c r="H646" s="123"/>
      <c r="I646" s="123"/>
      <c r="J646" s="174"/>
      <c r="K646" s="182"/>
      <c r="L646" s="123"/>
      <c r="M646" s="123"/>
      <c r="N646" s="123"/>
      <c r="O646" s="123"/>
      <c r="P646" s="123"/>
      <c r="Q646" s="123"/>
      <c r="R646" s="123"/>
      <c r="S646" s="123"/>
      <c r="T646" s="123"/>
      <c r="U646" s="123"/>
      <c r="V646" s="123"/>
      <c r="W646" s="123"/>
      <c r="X646" s="123"/>
      <c r="Y646" s="123"/>
    </row>
    <row r="647" spans="1:25" ht="15.75" customHeight="1" x14ac:dyDescent="0.2">
      <c r="A647" s="182"/>
      <c r="B647" s="175"/>
      <c r="C647" s="176"/>
      <c r="D647" s="176"/>
      <c r="E647" s="176"/>
      <c r="F647" s="123"/>
      <c r="G647" s="123"/>
      <c r="H647" s="123"/>
      <c r="I647" s="123"/>
      <c r="J647" s="174"/>
      <c r="K647" s="182"/>
      <c r="L647" s="123"/>
      <c r="M647" s="123"/>
      <c r="N647" s="123"/>
      <c r="O647" s="123"/>
      <c r="P647" s="123"/>
      <c r="Q647" s="123"/>
      <c r="R647" s="123"/>
      <c r="S647" s="123"/>
      <c r="T647" s="123"/>
      <c r="U647" s="123"/>
      <c r="V647" s="123"/>
      <c r="W647" s="123"/>
      <c r="X647" s="123"/>
      <c r="Y647" s="123"/>
    </row>
    <row r="648" spans="1:25" ht="15.75" customHeight="1" x14ac:dyDescent="0.2">
      <c r="A648" s="182"/>
      <c r="B648" s="175"/>
      <c r="C648" s="176"/>
      <c r="D648" s="176"/>
      <c r="E648" s="176"/>
      <c r="F648" s="123"/>
      <c r="G648" s="123"/>
      <c r="H648" s="123"/>
      <c r="I648" s="123"/>
      <c r="J648" s="174"/>
      <c r="K648" s="182"/>
      <c r="L648" s="123"/>
      <c r="M648" s="123"/>
      <c r="N648" s="123"/>
      <c r="O648" s="123"/>
      <c r="P648" s="123"/>
      <c r="Q648" s="123"/>
      <c r="R648" s="123"/>
      <c r="S648" s="123"/>
      <c r="T648" s="123"/>
      <c r="U648" s="123"/>
      <c r="V648" s="123"/>
      <c r="W648" s="123"/>
      <c r="X648" s="123"/>
      <c r="Y648" s="123"/>
    </row>
    <row r="649" spans="1:25" ht="15.75" customHeight="1" x14ac:dyDescent="0.2">
      <c r="A649" s="182"/>
      <c r="B649" s="175"/>
      <c r="C649" s="176"/>
      <c r="D649" s="176"/>
      <c r="E649" s="176"/>
      <c r="F649" s="123"/>
      <c r="G649" s="123"/>
      <c r="H649" s="123"/>
      <c r="I649" s="123"/>
      <c r="J649" s="174"/>
      <c r="K649" s="182"/>
      <c r="L649" s="123"/>
      <c r="M649" s="123"/>
      <c r="N649" s="123"/>
      <c r="O649" s="123"/>
      <c r="P649" s="123"/>
      <c r="Q649" s="123"/>
      <c r="R649" s="123"/>
      <c r="S649" s="123"/>
      <c r="T649" s="123"/>
      <c r="U649" s="123"/>
      <c r="V649" s="123"/>
      <c r="W649" s="123"/>
      <c r="X649" s="123"/>
      <c r="Y649" s="123"/>
    </row>
    <row r="650" spans="1:25" ht="15.75" customHeight="1" x14ac:dyDescent="0.2">
      <c r="A650" s="182"/>
      <c r="B650" s="175"/>
      <c r="C650" s="176"/>
      <c r="D650" s="176"/>
      <c r="E650" s="176"/>
      <c r="F650" s="123"/>
      <c r="G650" s="123"/>
      <c r="H650" s="123"/>
      <c r="I650" s="123"/>
      <c r="J650" s="174"/>
      <c r="K650" s="182"/>
      <c r="L650" s="123"/>
      <c r="M650" s="123"/>
      <c r="N650" s="123"/>
      <c r="O650" s="123"/>
      <c r="P650" s="123"/>
      <c r="Q650" s="123"/>
      <c r="R650" s="123"/>
      <c r="S650" s="123"/>
      <c r="T650" s="123"/>
      <c r="U650" s="123"/>
      <c r="V650" s="123"/>
      <c r="W650" s="123"/>
      <c r="X650" s="123"/>
      <c r="Y650" s="123"/>
    </row>
    <row r="651" spans="1:25" ht="15.75" customHeight="1" x14ac:dyDescent="0.2">
      <c r="A651" s="182"/>
      <c r="B651" s="175"/>
      <c r="C651" s="176"/>
      <c r="D651" s="176"/>
      <c r="E651" s="176"/>
      <c r="F651" s="123"/>
      <c r="G651" s="123"/>
      <c r="H651" s="123"/>
      <c r="I651" s="123"/>
      <c r="J651" s="174"/>
      <c r="K651" s="182"/>
      <c r="L651" s="123"/>
      <c r="M651" s="123"/>
      <c r="N651" s="123"/>
      <c r="O651" s="123"/>
      <c r="P651" s="123"/>
      <c r="Q651" s="123"/>
      <c r="R651" s="123"/>
      <c r="S651" s="123"/>
      <c r="T651" s="123"/>
      <c r="U651" s="123"/>
      <c r="V651" s="123"/>
      <c r="W651" s="123"/>
      <c r="X651" s="123"/>
      <c r="Y651" s="123"/>
    </row>
    <row r="652" spans="1:25" ht="15.75" customHeight="1" x14ac:dyDescent="0.2">
      <c r="A652" s="182"/>
      <c r="B652" s="175"/>
      <c r="C652" s="176"/>
      <c r="D652" s="176"/>
      <c r="E652" s="176"/>
      <c r="F652" s="123"/>
      <c r="G652" s="123"/>
      <c r="H652" s="123"/>
      <c r="I652" s="123"/>
      <c r="J652" s="174"/>
      <c r="K652" s="182"/>
      <c r="L652" s="123"/>
      <c r="M652" s="123"/>
      <c r="N652" s="123"/>
      <c r="O652" s="123"/>
      <c r="P652" s="123"/>
      <c r="Q652" s="123"/>
      <c r="R652" s="123"/>
      <c r="S652" s="123"/>
      <c r="T652" s="123"/>
      <c r="U652" s="123"/>
      <c r="V652" s="123"/>
      <c r="W652" s="123"/>
      <c r="X652" s="123"/>
      <c r="Y652" s="123"/>
    </row>
    <row r="653" spans="1:25" ht="15.75" customHeight="1" x14ac:dyDescent="0.2">
      <c r="A653" s="182"/>
      <c r="B653" s="175"/>
      <c r="C653" s="176"/>
      <c r="D653" s="176"/>
      <c r="E653" s="176"/>
      <c r="F653" s="123"/>
      <c r="G653" s="123"/>
      <c r="H653" s="123"/>
      <c r="I653" s="123"/>
      <c r="J653" s="174"/>
      <c r="K653" s="182"/>
      <c r="L653" s="123"/>
      <c r="M653" s="123"/>
      <c r="N653" s="123"/>
      <c r="O653" s="123"/>
      <c r="P653" s="123"/>
      <c r="Q653" s="123"/>
      <c r="R653" s="123"/>
      <c r="S653" s="123"/>
      <c r="T653" s="123"/>
      <c r="U653" s="123"/>
      <c r="V653" s="123"/>
      <c r="W653" s="123"/>
      <c r="X653" s="123"/>
      <c r="Y653" s="123"/>
    </row>
    <row r="654" spans="1:25" ht="15.75" customHeight="1" x14ac:dyDescent="0.2">
      <c r="A654" s="182"/>
      <c r="B654" s="175"/>
      <c r="C654" s="176"/>
      <c r="D654" s="176"/>
      <c r="E654" s="176"/>
      <c r="F654" s="123"/>
      <c r="G654" s="123"/>
      <c r="H654" s="123"/>
      <c r="I654" s="123"/>
      <c r="J654" s="174"/>
      <c r="K654" s="182"/>
      <c r="L654" s="123"/>
      <c r="M654" s="123"/>
      <c r="N654" s="123"/>
      <c r="O654" s="123"/>
      <c r="P654" s="123"/>
      <c r="Q654" s="123"/>
      <c r="R654" s="123"/>
      <c r="S654" s="123"/>
      <c r="T654" s="123"/>
      <c r="U654" s="123"/>
      <c r="V654" s="123"/>
      <c r="W654" s="123"/>
      <c r="X654" s="123"/>
      <c r="Y654" s="123"/>
    </row>
    <row r="655" spans="1:25" ht="15.75" customHeight="1" x14ac:dyDescent="0.2">
      <c r="A655" s="182"/>
      <c r="B655" s="175"/>
      <c r="C655" s="176"/>
      <c r="D655" s="176"/>
      <c r="E655" s="176"/>
      <c r="F655" s="123"/>
      <c r="G655" s="123"/>
      <c r="H655" s="123"/>
      <c r="I655" s="123"/>
      <c r="J655" s="174"/>
      <c r="K655" s="182"/>
      <c r="L655" s="123"/>
      <c r="M655" s="123"/>
      <c r="N655" s="123"/>
      <c r="O655" s="123"/>
      <c r="P655" s="123"/>
      <c r="Q655" s="123"/>
      <c r="R655" s="123"/>
      <c r="S655" s="123"/>
      <c r="T655" s="123"/>
      <c r="U655" s="123"/>
      <c r="V655" s="123"/>
      <c r="W655" s="123"/>
      <c r="X655" s="123"/>
      <c r="Y655" s="123"/>
    </row>
    <row r="656" spans="1:25" ht="15.75" customHeight="1" x14ac:dyDescent="0.2">
      <c r="A656" s="182"/>
      <c r="B656" s="175"/>
      <c r="C656" s="176"/>
      <c r="D656" s="176"/>
      <c r="E656" s="176"/>
      <c r="F656" s="123"/>
      <c r="G656" s="123"/>
      <c r="H656" s="123"/>
      <c r="I656" s="123"/>
      <c r="J656" s="174"/>
      <c r="K656" s="182"/>
      <c r="L656" s="123"/>
      <c r="M656" s="123"/>
      <c r="N656" s="123"/>
      <c r="O656" s="123"/>
      <c r="P656" s="123"/>
      <c r="Q656" s="123"/>
      <c r="R656" s="123"/>
      <c r="S656" s="123"/>
      <c r="T656" s="123"/>
      <c r="U656" s="123"/>
      <c r="V656" s="123"/>
      <c r="W656" s="123"/>
      <c r="X656" s="123"/>
      <c r="Y656" s="123"/>
    </row>
    <row r="657" spans="1:25" ht="15.75" customHeight="1" x14ac:dyDescent="0.2">
      <c r="A657" s="182"/>
      <c r="B657" s="175"/>
      <c r="C657" s="176"/>
      <c r="D657" s="176"/>
      <c r="E657" s="176"/>
      <c r="F657" s="123"/>
      <c r="G657" s="123"/>
      <c r="H657" s="123"/>
      <c r="I657" s="123"/>
      <c r="J657" s="174"/>
      <c r="K657" s="182"/>
      <c r="L657" s="123"/>
      <c r="M657" s="123"/>
      <c r="N657" s="123"/>
      <c r="O657" s="123"/>
      <c r="P657" s="123"/>
      <c r="Q657" s="123"/>
      <c r="R657" s="123"/>
      <c r="S657" s="123"/>
      <c r="T657" s="123"/>
      <c r="U657" s="123"/>
      <c r="V657" s="123"/>
      <c r="W657" s="123"/>
      <c r="X657" s="123"/>
      <c r="Y657" s="123"/>
    </row>
    <row r="658" spans="1:25" ht="15.75" customHeight="1" x14ac:dyDescent="0.2">
      <c r="A658" s="182"/>
      <c r="B658" s="175"/>
      <c r="C658" s="176"/>
      <c r="D658" s="176"/>
      <c r="E658" s="176"/>
      <c r="F658" s="123"/>
      <c r="G658" s="123"/>
      <c r="H658" s="123"/>
      <c r="I658" s="123"/>
      <c r="J658" s="174"/>
      <c r="K658" s="182"/>
      <c r="L658" s="123"/>
      <c r="M658" s="123"/>
      <c r="N658" s="123"/>
      <c r="O658" s="123"/>
      <c r="P658" s="123"/>
      <c r="Q658" s="123"/>
      <c r="R658" s="123"/>
      <c r="S658" s="123"/>
      <c r="T658" s="123"/>
      <c r="U658" s="123"/>
      <c r="V658" s="123"/>
      <c r="W658" s="123"/>
      <c r="X658" s="123"/>
      <c r="Y658" s="123"/>
    </row>
    <row r="659" spans="1:25" ht="15.75" customHeight="1" x14ac:dyDescent="0.2">
      <c r="A659" s="182"/>
      <c r="B659" s="175"/>
      <c r="C659" s="176"/>
      <c r="D659" s="176"/>
      <c r="E659" s="176"/>
      <c r="F659" s="123"/>
      <c r="G659" s="123"/>
      <c r="H659" s="123"/>
      <c r="I659" s="123"/>
      <c r="J659" s="174"/>
      <c r="K659" s="182"/>
      <c r="L659" s="123"/>
      <c r="M659" s="123"/>
      <c r="N659" s="123"/>
      <c r="O659" s="123"/>
      <c r="P659" s="123"/>
      <c r="Q659" s="123"/>
      <c r="R659" s="123"/>
      <c r="S659" s="123"/>
      <c r="T659" s="123"/>
      <c r="U659" s="123"/>
      <c r="V659" s="123"/>
      <c r="W659" s="123"/>
      <c r="X659" s="123"/>
      <c r="Y659" s="123"/>
    </row>
    <row r="660" spans="1:25" ht="15.75" customHeight="1" x14ac:dyDescent="0.2">
      <c r="A660" s="182"/>
      <c r="B660" s="175"/>
      <c r="C660" s="176"/>
      <c r="D660" s="176"/>
      <c r="E660" s="176"/>
      <c r="F660" s="123"/>
      <c r="G660" s="123"/>
      <c r="H660" s="123"/>
      <c r="I660" s="123"/>
      <c r="J660" s="174"/>
      <c r="K660" s="182"/>
      <c r="L660" s="123"/>
      <c r="M660" s="123"/>
      <c r="N660" s="123"/>
      <c r="O660" s="123"/>
      <c r="P660" s="123"/>
      <c r="Q660" s="123"/>
      <c r="R660" s="123"/>
      <c r="S660" s="123"/>
      <c r="T660" s="123"/>
      <c r="U660" s="123"/>
      <c r="V660" s="123"/>
      <c r="W660" s="123"/>
      <c r="X660" s="123"/>
      <c r="Y660" s="123"/>
    </row>
    <row r="661" spans="1:25" ht="15.75" customHeight="1" x14ac:dyDescent="0.2">
      <c r="A661" s="182"/>
      <c r="B661" s="175"/>
      <c r="C661" s="176"/>
      <c r="D661" s="176"/>
      <c r="E661" s="176"/>
      <c r="F661" s="123"/>
      <c r="G661" s="123"/>
      <c r="H661" s="123"/>
      <c r="I661" s="123"/>
      <c r="J661" s="174"/>
      <c r="K661" s="182"/>
      <c r="L661" s="123"/>
      <c r="M661" s="123"/>
      <c r="N661" s="123"/>
      <c r="O661" s="123"/>
      <c r="P661" s="123"/>
      <c r="Q661" s="123"/>
      <c r="R661" s="123"/>
      <c r="S661" s="123"/>
      <c r="T661" s="123"/>
      <c r="U661" s="123"/>
      <c r="V661" s="123"/>
      <c r="W661" s="123"/>
      <c r="X661" s="123"/>
      <c r="Y661" s="123"/>
    </row>
    <row r="662" spans="1:25" ht="15.75" customHeight="1" x14ac:dyDescent="0.2">
      <c r="A662" s="182"/>
      <c r="B662" s="175"/>
      <c r="C662" s="176"/>
      <c r="D662" s="176"/>
      <c r="E662" s="176"/>
      <c r="F662" s="123"/>
      <c r="G662" s="123"/>
      <c r="H662" s="123"/>
      <c r="I662" s="123"/>
      <c r="J662" s="174"/>
      <c r="K662" s="182"/>
      <c r="L662" s="123"/>
      <c r="M662" s="123"/>
      <c r="N662" s="123"/>
      <c r="O662" s="123"/>
      <c r="P662" s="123"/>
      <c r="Q662" s="123"/>
      <c r="R662" s="123"/>
      <c r="S662" s="123"/>
      <c r="T662" s="123"/>
      <c r="U662" s="123"/>
      <c r="V662" s="123"/>
      <c r="W662" s="123"/>
      <c r="X662" s="123"/>
      <c r="Y662" s="123"/>
    </row>
    <row r="663" spans="1:25" ht="15.75" customHeight="1" x14ac:dyDescent="0.2">
      <c r="A663" s="182"/>
      <c r="B663" s="175"/>
      <c r="C663" s="176"/>
      <c r="D663" s="176"/>
      <c r="E663" s="176"/>
      <c r="F663" s="123"/>
      <c r="G663" s="123"/>
      <c r="H663" s="123"/>
      <c r="I663" s="123"/>
      <c r="J663" s="174"/>
      <c r="K663" s="182"/>
      <c r="L663" s="123"/>
      <c r="M663" s="123"/>
      <c r="N663" s="123"/>
      <c r="O663" s="123"/>
      <c r="P663" s="123"/>
      <c r="Q663" s="123"/>
      <c r="R663" s="123"/>
      <c r="S663" s="123"/>
      <c r="T663" s="123"/>
      <c r="U663" s="123"/>
      <c r="V663" s="123"/>
      <c r="W663" s="123"/>
      <c r="X663" s="123"/>
      <c r="Y663" s="123"/>
    </row>
    <row r="664" spans="1:25" ht="15.75" customHeight="1" x14ac:dyDescent="0.2">
      <c r="A664" s="182"/>
      <c r="B664" s="175"/>
      <c r="C664" s="176"/>
      <c r="D664" s="176"/>
      <c r="E664" s="176"/>
      <c r="F664" s="123"/>
      <c r="G664" s="123"/>
      <c r="H664" s="123"/>
      <c r="I664" s="123"/>
      <c r="J664" s="174"/>
      <c r="K664" s="182"/>
      <c r="L664" s="123"/>
      <c r="M664" s="123"/>
      <c r="N664" s="123"/>
      <c r="O664" s="123"/>
      <c r="P664" s="123"/>
      <c r="Q664" s="123"/>
      <c r="R664" s="123"/>
      <c r="S664" s="123"/>
      <c r="T664" s="123"/>
      <c r="U664" s="123"/>
      <c r="V664" s="123"/>
      <c r="W664" s="123"/>
      <c r="X664" s="123"/>
      <c r="Y664" s="123"/>
    </row>
    <row r="665" spans="1:25" ht="15.75" customHeight="1" x14ac:dyDescent="0.2">
      <c r="A665" s="182"/>
      <c r="B665" s="175"/>
      <c r="C665" s="176"/>
      <c r="D665" s="176"/>
      <c r="E665" s="176"/>
      <c r="F665" s="123"/>
      <c r="G665" s="123"/>
      <c r="H665" s="123"/>
      <c r="I665" s="123"/>
      <c r="J665" s="174"/>
      <c r="K665" s="182"/>
      <c r="L665" s="123"/>
      <c r="M665" s="123"/>
      <c r="N665" s="123"/>
      <c r="O665" s="123"/>
      <c r="P665" s="123"/>
      <c r="Q665" s="123"/>
      <c r="R665" s="123"/>
      <c r="S665" s="123"/>
      <c r="T665" s="123"/>
      <c r="U665" s="123"/>
      <c r="V665" s="123"/>
      <c r="W665" s="123"/>
      <c r="X665" s="123"/>
      <c r="Y665" s="123"/>
    </row>
    <row r="666" spans="1:25" ht="15.75" customHeight="1" x14ac:dyDescent="0.2">
      <c r="A666" s="182"/>
      <c r="B666" s="175"/>
      <c r="C666" s="176"/>
      <c r="D666" s="176"/>
      <c r="E666" s="176"/>
      <c r="F666" s="123"/>
      <c r="G666" s="123"/>
      <c r="H666" s="123"/>
      <c r="I666" s="123"/>
      <c r="J666" s="174"/>
      <c r="K666" s="182"/>
      <c r="L666" s="123"/>
      <c r="M666" s="123"/>
      <c r="N666" s="123"/>
      <c r="O666" s="123"/>
      <c r="P666" s="123"/>
      <c r="Q666" s="123"/>
      <c r="R666" s="123"/>
      <c r="S666" s="123"/>
      <c r="T666" s="123"/>
      <c r="U666" s="123"/>
      <c r="V666" s="123"/>
      <c r="W666" s="123"/>
      <c r="X666" s="123"/>
      <c r="Y666" s="123"/>
    </row>
    <row r="667" spans="1:25" ht="15.75" customHeight="1" x14ac:dyDescent="0.2">
      <c r="A667" s="182"/>
      <c r="B667" s="175"/>
      <c r="C667" s="176"/>
      <c r="D667" s="176"/>
      <c r="E667" s="176"/>
      <c r="F667" s="123"/>
      <c r="G667" s="123"/>
      <c r="H667" s="123"/>
      <c r="I667" s="123"/>
      <c r="J667" s="174"/>
      <c r="K667" s="182"/>
      <c r="L667" s="123"/>
      <c r="M667" s="123"/>
      <c r="N667" s="123"/>
      <c r="O667" s="123"/>
      <c r="P667" s="123"/>
      <c r="Q667" s="123"/>
      <c r="R667" s="123"/>
      <c r="S667" s="123"/>
      <c r="T667" s="123"/>
      <c r="U667" s="123"/>
      <c r="V667" s="123"/>
      <c r="W667" s="123"/>
      <c r="X667" s="123"/>
      <c r="Y667" s="123"/>
    </row>
    <row r="668" spans="1:25" ht="15.75" customHeight="1" x14ac:dyDescent="0.2">
      <c r="A668" s="182"/>
      <c r="B668" s="175"/>
      <c r="C668" s="176"/>
      <c r="D668" s="176"/>
      <c r="E668" s="176"/>
      <c r="F668" s="123"/>
      <c r="G668" s="123"/>
      <c r="H668" s="123"/>
      <c r="I668" s="123"/>
      <c r="J668" s="174"/>
      <c r="K668" s="182"/>
      <c r="L668" s="123"/>
      <c r="M668" s="123"/>
      <c r="N668" s="123"/>
      <c r="O668" s="123"/>
      <c r="P668" s="123"/>
      <c r="Q668" s="123"/>
      <c r="R668" s="123"/>
      <c r="S668" s="123"/>
      <c r="T668" s="123"/>
      <c r="U668" s="123"/>
      <c r="V668" s="123"/>
      <c r="W668" s="123"/>
      <c r="X668" s="123"/>
      <c r="Y668" s="123"/>
    </row>
    <row r="669" spans="1:25" ht="15.75" customHeight="1" x14ac:dyDescent="0.2">
      <c r="A669" s="182"/>
      <c r="B669" s="175"/>
      <c r="C669" s="176"/>
      <c r="D669" s="176"/>
      <c r="E669" s="176"/>
      <c r="F669" s="123"/>
      <c r="G669" s="123"/>
      <c r="H669" s="123"/>
      <c r="I669" s="123"/>
      <c r="J669" s="174"/>
      <c r="K669" s="182"/>
      <c r="L669" s="123"/>
      <c r="M669" s="123"/>
      <c r="N669" s="123"/>
      <c r="O669" s="123"/>
      <c r="P669" s="123"/>
      <c r="Q669" s="123"/>
      <c r="R669" s="123"/>
      <c r="S669" s="123"/>
      <c r="T669" s="123"/>
      <c r="U669" s="123"/>
      <c r="V669" s="123"/>
      <c r="W669" s="123"/>
      <c r="X669" s="123"/>
      <c r="Y669" s="123"/>
    </row>
    <row r="670" spans="1:25" ht="15.75" customHeight="1" x14ac:dyDescent="0.2">
      <c r="A670" s="182"/>
      <c r="B670" s="175"/>
      <c r="C670" s="176"/>
      <c r="D670" s="176"/>
      <c r="E670" s="176"/>
      <c r="F670" s="123"/>
      <c r="G670" s="123"/>
      <c r="H670" s="123"/>
      <c r="I670" s="123"/>
      <c r="J670" s="174"/>
      <c r="K670" s="182"/>
      <c r="L670" s="123"/>
      <c r="M670" s="123"/>
      <c r="N670" s="123"/>
      <c r="O670" s="123"/>
      <c r="P670" s="123"/>
      <c r="Q670" s="123"/>
      <c r="R670" s="123"/>
      <c r="S670" s="123"/>
      <c r="T670" s="123"/>
      <c r="U670" s="123"/>
      <c r="V670" s="123"/>
      <c r="W670" s="123"/>
      <c r="X670" s="123"/>
      <c r="Y670" s="123"/>
    </row>
    <row r="671" spans="1:25" ht="15.75" customHeight="1" x14ac:dyDescent="0.2">
      <c r="A671" s="182"/>
      <c r="B671" s="175"/>
      <c r="C671" s="176"/>
      <c r="D671" s="176"/>
      <c r="E671" s="176"/>
      <c r="F671" s="123"/>
      <c r="G671" s="123"/>
      <c r="H671" s="123"/>
      <c r="I671" s="123"/>
      <c r="J671" s="174"/>
      <c r="K671" s="182"/>
      <c r="L671" s="123"/>
      <c r="M671" s="123"/>
      <c r="N671" s="123"/>
      <c r="O671" s="123"/>
      <c r="P671" s="123"/>
      <c r="Q671" s="123"/>
      <c r="R671" s="123"/>
      <c r="S671" s="123"/>
      <c r="T671" s="123"/>
      <c r="U671" s="123"/>
      <c r="V671" s="123"/>
      <c r="W671" s="123"/>
      <c r="X671" s="123"/>
      <c r="Y671" s="123"/>
    </row>
    <row r="672" spans="1:25" ht="15.75" customHeight="1" x14ac:dyDescent="0.2">
      <c r="A672" s="182"/>
      <c r="B672" s="175"/>
      <c r="C672" s="176"/>
      <c r="D672" s="176"/>
      <c r="E672" s="176"/>
      <c r="F672" s="123"/>
      <c r="G672" s="123"/>
      <c r="H672" s="123"/>
      <c r="I672" s="123"/>
      <c r="J672" s="174"/>
      <c r="K672" s="182"/>
      <c r="L672" s="123"/>
      <c r="M672" s="123"/>
      <c r="N672" s="123"/>
      <c r="O672" s="123"/>
      <c r="P672" s="123"/>
      <c r="Q672" s="123"/>
      <c r="R672" s="123"/>
      <c r="S672" s="123"/>
      <c r="T672" s="123"/>
      <c r="U672" s="123"/>
      <c r="V672" s="123"/>
      <c r="W672" s="123"/>
      <c r="X672" s="123"/>
      <c r="Y672" s="123"/>
    </row>
    <row r="673" spans="1:25" ht="15.75" customHeight="1" x14ac:dyDescent="0.2">
      <c r="A673" s="182"/>
      <c r="B673" s="175"/>
      <c r="C673" s="176"/>
      <c r="D673" s="176"/>
      <c r="E673" s="176"/>
      <c r="F673" s="123"/>
      <c r="G673" s="123"/>
      <c r="H673" s="123"/>
      <c r="I673" s="123"/>
      <c r="J673" s="174"/>
      <c r="K673" s="182"/>
      <c r="L673" s="123"/>
      <c r="M673" s="123"/>
      <c r="N673" s="123"/>
      <c r="O673" s="123"/>
      <c r="P673" s="123"/>
      <c r="Q673" s="123"/>
      <c r="R673" s="123"/>
      <c r="S673" s="123"/>
      <c r="T673" s="123"/>
      <c r="U673" s="123"/>
      <c r="V673" s="123"/>
      <c r="W673" s="123"/>
      <c r="X673" s="123"/>
      <c r="Y673" s="123"/>
    </row>
    <row r="674" spans="1:25" ht="15.75" customHeight="1" x14ac:dyDescent="0.2">
      <c r="A674" s="182"/>
      <c r="B674" s="175"/>
      <c r="C674" s="176"/>
      <c r="D674" s="176"/>
      <c r="E674" s="176"/>
      <c r="F674" s="123"/>
      <c r="G674" s="123"/>
      <c r="H674" s="123"/>
      <c r="I674" s="123"/>
      <c r="J674" s="174"/>
      <c r="K674" s="182"/>
      <c r="L674" s="123"/>
      <c r="M674" s="123"/>
      <c r="N674" s="123"/>
      <c r="O674" s="123"/>
      <c r="P674" s="123"/>
      <c r="Q674" s="123"/>
      <c r="R674" s="123"/>
      <c r="S674" s="123"/>
      <c r="T674" s="123"/>
      <c r="U674" s="123"/>
      <c r="V674" s="123"/>
      <c r="W674" s="123"/>
      <c r="X674" s="123"/>
      <c r="Y674" s="123"/>
    </row>
    <row r="675" spans="1:25" ht="15.75" customHeight="1" x14ac:dyDescent="0.2">
      <c r="A675" s="182"/>
      <c r="B675" s="175"/>
      <c r="C675" s="176"/>
      <c r="D675" s="176"/>
      <c r="E675" s="176"/>
      <c r="F675" s="123"/>
      <c r="G675" s="123"/>
      <c r="H675" s="123"/>
      <c r="I675" s="123"/>
      <c r="J675" s="174"/>
      <c r="K675" s="182"/>
      <c r="L675" s="123"/>
      <c r="M675" s="123"/>
      <c r="N675" s="123"/>
      <c r="O675" s="123"/>
      <c r="P675" s="123"/>
      <c r="Q675" s="123"/>
      <c r="R675" s="123"/>
      <c r="S675" s="123"/>
      <c r="T675" s="123"/>
      <c r="U675" s="123"/>
      <c r="V675" s="123"/>
      <c r="W675" s="123"/>
      <c r="X675" s="123"/>
      <c r="Y675" s="123"/>
    </row>
    <row r="676" spans="1:25" ht="15.75" customHeight="1" x14ac:dyDescent="0.2">
      <c r="A676" s="182"/>
      <c r="B676" s="175"/>
      <c r="C676" s="176"/>
      <c r="D676" s="176"/>
      <c r="E676" s="176"/>
      <c r="F676" s="123"/>
      <c r="G676" s="123"/>
      <c r="H676" s="123"/>
      <c r="I676" s="123"/>
      <c r="J676" s="174"/>
      <c r="K676" s="182"/>
      <c r="L676" s="123"/>
      <c r="M676" s="123"/>
      <c r="N676" s="123"/>
      <c r="O676" s="123"/>
      <c r="P676" s="123"/>
      <c r="Q676" s="123"/>
      <c r="R676" s="123"/>
      <c r="S676" s="123"/>
      <c r="T676" s="123"/>
      <c r="U676" s="123"/>
      <c r="V676" s="123"/>
      <c r="W676" s="123"/>
      <c r="X676" s="123"/>
      <c r="Y676" s="123"/>
    </row>
    <row r="677" spans="1:25" ht="15.75" customHeight="1" x14ac:dyDescent="0.2">
      <c r="A677" s="182"/>
      <c r="B677" s="175"/>
      <c r="C677" s="176"/>
      <c r="D677" s="176"/>
      <c r="E677" s="176"/>
      <c r="F677" s="123"/>
      <c r="G677" s="123"/>
      <c r="H677" s="123"/>
      <c r="I677" s="123"/>
      <c r="J677" s="174"/>
      <c r="K677" s="182"/>
      <c r="L677" s="123"/>
      <c r="M677" s="123"/>
      <c r="N677" s="123"/>
      <c r="O677" s="123"/>
      <c r="P677" s="123"/>
      <c r="Q677" s="123"/>
      <c r="R677" s="123"/>
      <c r="S677" s="123"/>
      <c r="T677" s="123"/>
      <c r="U677" s="123"/>
      <c r="V677" s="123"/>
      <c r="W677" s="123"/>
      <c r="X677" s="123"/>
      <c r="Y677" s="123"/>
    </row>
    <row r="678" spans="1:25" ht="15.75" customHeight="1" x14ac:dyDescent="0.2">
      <c r="A678" s="182"/>
      <c r="B678" s="175"/>
      <c r="C678" s="176"/>
      <c r="D678" s="176"/>
      <c r="E678" s="176"/>
      <c r="F678" s="123"/>
      <c r="G678" s="123"/>
      <c r="H678" s="123"/>
      <c r="I678" s="123"/>
      <c r="J678" s="174"/>
      <c r="K678" s="182"/>
      <c r="L678" s="123"/>
      <c r="M678" s="123"/>
      <c r="N678" s="123"/>
      <c r="O678" s="123"/>
      <c r="P678" s="123"/>
      <c r="Q678" s="123"/>
      <c r="R678" s="123"/>
      <c r="S678" s="123"/>
      <c r="T678" s="123"/>
      <c r="U678" s="123"/>
      <c r="V678" s="123"/>
      <c r="W678" s="123"/>
      <c r="X678" s="123"/>
      <c r="Y678" s="123"/>
    </row>
    <row r="679" spans="1:25" ht="15.75" customHeight="1" x14ac:dyDescent="0.2">
      <c r="A679" s="182"/>
      <c r="B679" s="175"/>
      <c r="C679" s="176"/>
      <c r="D679" s="176"/>
      <c r="E679" s="176"/>
      <c r="F679" s="123"/>
      <c r="G679" s="123"/>
      <c r="H679" s="123"/>
      <c r="I679" s="123"/>
      <c r="J679" s="174"/>
      <c r="K679" s="182"/>
      <c r="L679" s="123"/>
      <c r="M679" s="123"/>
      <c r="N679" s="123"/>
      <c r="O679" s="123"/>
      <c r="P679" s="123"/>
      <c r="Q679" s="123"/>
      <c r="R679" s="123"/>
      <c r="S679" s="123"/>
      <c r="T679" s="123"/>
      <c r="U679" s="123"/>
      <c r="V679" s="123"/>
      <c r="W679" s="123"/>
      <c r="X679" s="123"/>
      <c r="Y679" s="123"/>
    </row>
    <row r="680" spans="1:25" ht="15.75" customHeight="1" x14ac:dyDescent="0.2">
      <c r="A680" s="182"/>
      <c r="B680" s="175"/>
      <c r="C680" s="176"/>
      <c r="D680" s="176"/>
      <c r="E680" s="176"/>
      <c r="F680" s="123"/>
      <c r="G680" s="123"/>
      <c r="H680" s="123"/>
      <c r="I680" s="123"/>
      <c r="J680" s="174"/>
      <c r="K680" s="182"/>
      <c r="L680" s="123"/>
      <c r="M680" s="123"/>
      <c r="N680" s="123"/>
      <c r="O680" s="123"/>
      <c r="P680" s="123"/>
      <c r="Q680" s="123"/>
      <c r="R680" s="123"/>
      <c r="S680" s="123"/>
      <c r="T680" s="123"/>
      <c r="U680" s="123"/>
      <c r="V680" s="123"/>
      <c r="W680" s="123"/>
      <c r="X680" s="123"/>
      <c r="Y680" s="123"/>
    </row>
    <row r="681" spans="1:25" ht="15.75" customHeight="1" x14ac:dyDescent="0.2">
      <c r="A681" s="182"/>
      <c r="B681" s="175"/>
      <c r="C681" s="176"/>
      <c r="D681" s="176"/>
      <c r="E681" s="176"/>
      <c r="F681" s="123"/>
      <c r="G681" s="123"/>
      <c r="H681" s="123"/>
      <c r="I681" s="123"/>
      <c r="J681" s="174"/>
      <c r="K681" s="182"/>
      <c r="L681" s="123"/>
      <c r="M681" s="123"/>
      <c r="N681" s="123"/>
      <c r="O681" s="123"/>
      <c r="P681" s="123"/>
      <c r="Q681" s="123"/>
      <c r="R681" s="123"/>
      <c r="S681" s="123"/>
      <c r="T681" s="123"/>
      <c r="U681" s="123"/>
      <c r="V681" s="123"/>
      <c r="W681" s="123"/>
      <c r="X681" s="123"/>
      <c r="Y681" s="123"/>
    </row>
    <row r="682" spans="1:25" ht="15.75" customHeight="1" x14ac:dyDescent="0.2">
      <c r="A682" s="182"/>
      <c r="B682" s="175"/>
      <c r="C682" s="176"/>
      <c r="D682" s="176"/>
      <c r="E682" s="176"/>
      <c r="F682" s="123"/>
      <c r="G682" s="123"/>
      <c r="H682" s="123"/>
      <c r="I682" s="123"/>
      <c r="J682" s="174"/>
      <c r="K682" s="182"/>
      <c r="L682" s="123"/>
      <c r="M682" s="123"/>
      <c r="N682" s="123"/>
      <c r="O682" s="123"/>
      <c r="P682" s="123"/>
      <c r="Q682" s="123"/>
      <c r="R682" s="123"/>
      <c r="S682" s="123"/>
      <c r="T682" s="123"/>
      <c r="U682" s="123"/>
      <c r="V682" s="123"/>
      <c r="W682" s="123"/>
      <c r="X682" s="123"/>
      <c r="Y682" s="123"/>
    </row>
    <row r="683" spans="1:25" ht="15.75" customHeight="1" x14ac:dyDescent="0.2">
      <c r="A683" s="182"/>
      <c r="B683" s="175"/>
      <c r="C683" s="176"/>
      <c r="D683" s="176"/>
      <c r="E683" s="176"/>
      <c r="F683" s="123"/>
      <c r="G683" s="123"/>
      <c r="H683" s="123"/>
      <c r="I683" s="123"/>
      <c r="J683" s="174"/>
      <c r="K683" s="182"/>
      <c r="L683" s="123"/>
      <c r="M683" s="123"/>
      <c r="N683" s="123"/>
      <c r="O683" s="123"/>
      <c r="P683" s="123"/>
      <c r="Q683" s="123"/>
      <c r="R683" s="123"/>
      <c r="S683" s="123"/>
      <c r="T683" s="123"/>
      <c r="U683" s="123"/>
      <c r="V683" s="123"/>
      <c r="W683" s="123"/>
      <c r="X683" s="123"/>
      <c r="Y683" s="123"/>
    </row>
    <row r="684" spans="1:25" ht="15.75" customHeight="1" x14ac:dyDescent="0.2">
      <c r="A684" s="182"/>
      <c r="B684" s="175"/>
      <c r="C684" s="176"/>
      <c r="D684" s="176"/>
      <c r="E684" s="176"/>
      <c r="F684" s="123"/>
      <c r="G684" s="123"/>
      <c r="H684" s="123"/>
      <c r="I684" s="123"/>
      <c r="J684" s="174"/>
      <c r="K684" s="182"/>
      <c r="L684" s="123"/>
      <c r="M684" s="123"/>
      <c r="N684" s="123"/>
      <c r="O684" s="123"/>
      <c r="P684" s="123"/>
      <c r="Q684" s="123"/>
      <c r="R684" s="123"/>
      <c r="S684" s="123"/>
      <c r="T684" s="123"/>
      <c r="U684" s="123"/>
      <c r="V684" s="123"/>
      <c r="W684" s="123"/>
      <c r="X684" s="123"/>
      <c r="Y684" s="123"/>
    </row>
    <row r="685" spans="1:25" ht="15.75" customHeight="1" x14ac:dyDescent="0.2">
      <c r="A685" s="182"/>
      <c r="B685" s="175"/>
      <c r="C685" s="176"/>
      <c r="D685" s="176"/>
      <c r="E685" s="176"/>
      <c r="F685" s="123"/>
      <c r="G685" s="123"/>
      <c r="H685" s="123"/>
      <c r="I685" s="123"/>
      <c r="J685" s="174"/>
      <c r="K685" s="182"/>
      <c r="L685" s="123"/>
      <c r="M685" s="123"/>
      <c r="N685" s="123"/>
      <c r="O685" s="123"/>
      <c r="P685" s="123"/>
      <c r="Q685" s="123"/>
      <c r="R685" s="123"/>
      <c r="S685" s="123"/>
      <c r="T685" s="123"/>
      <c r="U685" s="123"/>
      <c r="V685" s="123"/>
      <c r="W685" s="123"/>
      <c r="X685" s="123"/>
      <c r="Y685" s="123"/>
    </row>
    <row r="686" spans="1:25" ht="15.75" customHeight="1" x14ac:dyDescent="0.2">
      <c r="A686" s="182"/>
      <c r="B686" s="175"/>
      <c r="C686" s="176"/>
      <c r="D686" s="176"/>
      <c r="E686" s="176"/>
      <c r="F686" s="123"/>
      <c r="G686" s="123"/>
      <c r="H686" s="123"/>
      <c r="I686" s="123"/>
      <c r="J686" s="174"/>
      <c r="K686" s="182"/>
      <c r="L686" s="123"/>
      <c r="M686" s="123"/>
      <c r="N686" s="123"/>
      <c r="O686" s="123"/>
      <c r="P686" s="123"/>
      <c r="Q686" s="123"/>
      <c r="R686" s="123"/>
      <c r="S686" s="123"/>
      <c r="T686" s="123"/>
      <c r="U686" s="123"/>
      <c r="V686" s="123"/>
      <c r="W686" s="123"/>
      <c r="X686" s="123"/>
      <c r="Y686" s="123"/>
    </row>
    <row r="687" spans="1:25" ht="15.75" customHeight="1" x14ac:dyDescent="0.2">
      <c r="A687" s="182"/>
      <c r="B687" s="175"/>
      <c r="C687" s="176"/>
      <c r="D687" s="176"/>
      <c r="E687" s="176"/>
      <c r="F687" s="123"/>
      <c r="G687" s="123"/>
      <c r="H687" s="123"/>
      <c r="I687" s="123"/>
      <c r="J687" s="174"/>
      <c r="K687" s="182"/>
      <c r="L687" s="123"/>
      <c r="M687" s="123"/>
      <c r="N687" s="123"/>
      <c r="O687" s="123"/>
      <c r="P687" s="123"/>
      <c r="Q687" s="123"/>
      <c r="R687" s="123"/>
      <c r="S687" s="123"/>
      <c r="T687" s="123"/>
      <c r="U687" s="123"/>
      <c r="V687" s="123"/>
      <c r="W687" s="123"/>
      <c r="X687" s="123"/>
      <c r="Y687" s="123"/>
    </row>
    <row r="688" spans="1:25" ht="15.75" customHeight="1" x14ac:dyDescent="0.2">
      <c r="A688" s="182"/>
      <c r="B688" s="175"/>
      <c r="C688" s="176"/>
      <c r="D688" s="176"/>
      <c r="E688" s="176"/>
      <c r="F688" s="123"/>
      <c r="G688" s="123"/>
      <c r="H688" s="123"/>
      <c r="I688" s="123"/>
      <c r="J688" s="174"/>
      <c r="K688" s="182"/>
      <c r="L688" s="123"/>
      <c r="M688" s="123"/>
      <c r="N688" s="123"/>
      <c r="O688" s="123"/>
      <c r="P688" s="123"/>
      <c r="Q688" s="123"/>
      <c r="R688" s="123"/>
      <c r="S688" s="123"/>
      <c r="T688" s="123"/>
      <c r="U688" s="123"/>
      <c r="V688" s="123"/>
      <c r="W688" s="123"/>
      <c r="X688" s="123"/>
      <c r="Y688" s="123"/>
    </row>
    <row r="689" spans="1:25" ht="15.75" customHeight="1" x14ac:dyDescent="0.2">
      <c r="A689" s="182"/>
      <c r="B689" s="175"/>
      <c r="C689" s="176"/>
      <c r="D689" s="176"/>
      <c r="E689" s="176"/>
      <c r="F689" s="123"/>
      <c r="G689" s="123"/>
      <c r="H689" s="123"/>
      <c r="I689" s="123"/>
      <c r="J689" s="174"/>
      <c r="K689" s="182"/>
      <c r="L689" s="123"/>
      <c r="M689" s="123"/>
      <c r="N689" s="123"/>
      <c r="O689" s="123"/>
      <c r="P689" s="123"/>
      <c r="Q689" s="123"/>
      <c r="R689" s="123"/>
      <c r="S689" s="123"/>
      <c r="T689" s="123"/>
      <c r="U689" s="123"/>
      <c r="V689" s="123"/>
      <c r="W689" s="123"/>
      <c r="X689" s="123"/>
      <c r="Y689" s="123"/>
    </row>
    <row r="690" spans="1:25" ht="15.75" customHeight="1" x14ac:dyDescent="0.2">
      <c r="A690" s="182"/>
      <c r="B690" s="175"/>
      <c r="C690" s="176"/>
      <c r="D690" s="176"/>
      <c r="E690" s="176"/>
      <c r="F690" s="123"/>
      <c r="G690" s="123"/>
      <c r="H690" s="123"/>
      <c r="I690" s="123"/>
      <c r="J690" s="174"/>
      <c r="K690" s="182"/>
      <c r="L690" s="123"/>
      <c r="M690" s="123"/>
      <c r="N690" s="123"/>
      <c r="O690" s="123"/>
      <c r="P690" s="123"/>
      <c r="Q690" s="123"/>
      <c r="R690" s="123"/>
      <c r="S690" s="123"/>
      <c r="T690" s="123"/>
      <c r="U690" s="123"/>
      <c r="V690" s="123"/>
      <c r="W690" s="123"/>
      <c r="X690" s="123"/>
      <c r="Y690" s="123"/>
    </row>
    <row r="691" spans="1:25" ht="15.75" customHeight="1" x14ac:dyDescent="0.2">
      <c r="A691" s="182"/>
      <c r="B691" s="175"/>
      <c r="C691" s="176"/>
      <c r="D691" s="176"/>
      <c r="E691" s="176"/>
      <c r="F691" s="123"/>
      <c r="G691" s="123"/>
      <c r="H691" s="123"/>
      <c r="I691" s="123"/>
      <c r="J691" s="174"/>
      <c r="K691" s="182"/>
      <c r="L691" s="123"/>
      <c r="M691" s="123"/>
      <c r="N691" s="123"/>
      <c r="O691" s="123"/>
      <c r="P691" s="123"/>
      <c r="Q691" s="123"/>
      <c r="R691" s="123"/>
      <c r="S691" s="123"/>
      <c r="T691" s="123"/>
      <c r="U691" s="123"/>
      <c r="V691" s="123"/>
      <c r="W691" s="123"/>
      <c r="X691" s="123"/>
      <c r="Y691" s="123"/>
    </row>
    <row r="692" spans="1:25" ht="15.75" customHeight="1" x14ac:dyDescent="0.2">
      <c r="A692" s="182"/>
      <c r="B692" s="175"/>
      <c r="C692" s="176"/>
      <c r="D692" s="176"/>
      <c r="E692" s="176"/>
      <c r="F692" s="123"/>
      <c r="G692" s="123"/>
      <c r="H692" s="123"/>
      <c r="I692" s="123"/>
      <c r="J692" s="174"/>
      <c r="K692" s="182"/>
      <c r="L692" s="123"/>
      <c r="M692" s="123"/>
      <c r="N692" s="123"/>
      <c r="O692" s="123"/>
      <c r="P692" s="123"/>
      <c r="Q692" s="123"/>
      <c r="R692" s="123"/>
      <c r="S692" s="123"/>
      <c r="T692" s="123"/>
      <c r="U692" s="123"/>
      <c r="V692" s="123"/>
      <c r="W692" s="123"/>
      <c r="X692" s="123"/>
      <c r="Y692" s="123"/>
    </row>
    <row r="693" spans="1:25" ht="15.75" customHeight="1" x14ac:dyDescent="0.2">
      <c r="A693" s="182"/>
      <c r="B693" s="175"/>
      <c r="C693" s="176"/>
      <c r="D693" s="176"/>
      <c r="E693" s="176"/>
      <c r="F693" s="123"/>
      <c r="G693" s="123"/>
      <c r="H693" s="123"/>
      <c r="I693" s="123"/>
      <c r="J693" s="174"/>
      <c r="K693" s="182"/>
      <c r="L693" s="123"/>
      <c r="M693" s="123"/>
      <c r="N693" s="123"/>
      <c r="O693" s="123"/>
      <c r="P693" s="123"/>
      <c r="Q693" s="123"/>
      <c r="R693" s="123"/>
      <c r="S693" s="123"/>
      <c r="T693" s="123"/>
      <c r="U693" s="123"/>
      <c r="V693" s="123"/>
      <c r="W693" s="123"/>
      <c r="X693" s="123"/>
      <c r="Y693" s="123"/>
    </row>
    <row r="694" spans="1:25" ht="15.75" customHeight="1" x14ac:dyDescent="0.2">
      <c r="A694" s="182"/>
      <c r="B694" s="175"/>
      <c r="C694" s="176"/>
      <c r="D694" s="176"/>
      <c r="E694" s="176"/>
      <c r="F694" s="123"/>
      <c r="G694" s="123"/>
      <c r="H694" s="123"/>
      <c r="I694" s="123"/>
      <c r="J694" s="174"/>
      <c r="K694" s="182"/>
      <c r="L694" s="123"/>
      <c r="M694" s="123"/>
      <c r="N694" s="123"/>
      <c r="O694" s="123"/>
      <c r="P694" s="123"/>
      <c r="Q694" s="123"/>
      <c r="R694" s="123"/>
      <c r="S694" s="123"/>
      <c r="T694" s="123"/>
      <c r="U694" s="123"/>
      <c r="V694" s="123"/>
      <c r="W694" s="123"/>
      <c r="X694" s="123"/>
      <c r="Y694" s="123"/>
    </row>
    <row r="695" spans="1:25" ht="15.75" customHeight="1" x14ac:dyDescent="0.2">
      <c r="A695" s="182"/>
      <c r="B695" s="175"/>
      <c r="C695" s="176"/>
      <c r="D695" s="176"/>
      <c r="E695" s="176"/>
      <c r="F695" s="123"/>
      <c r="G695" s="123"/>
      <c r="H695" s="123"/>
      <c r="I695" s="123"/>
      <c r="J695" s="174"/>
      <c r="K695" s="182"/>
      <c r="L695" s="123"/>
      <c r="M695" s="123"/>
      <c r="N695" s="123"/>
      <c r="O695" s="123"/>
      <c r="P695" s="123"/>
      <c r="Q695" s="123"/>
      <c r="R695" s="123"/>
      <c r="S695" s="123"/>
      <c r="T695" s="123"/>
      <c r="U695" s="123"/>
      <c r="V695" s="123"/>
      <c r="W695" s="123"/>
      <c r="X695" s="123"/>
      <c r="Y695" s="123"/>
    </row>
    <row r="696" spans="1:25" ht="15.75" customHeight="1" x14ac:dyDescent="0.2">
      <c r="A696" s="182"/>
      <c r="B696" s="175"/>
      <c r="C696" s="176"/>
      <c r="D696" s="176"/>
      <c r="E696" s="176"/>
      <c r="F696" s="123"/>
      <c r="G696" s="123"/>
      <c r="H696" s="123"/>
      <c r="I696" s="123"/>
      <c r="J696" s="174"/>
      <c r="K696" s="182"/>
      <c r="L696" s="123"/>
      <c r="M696" s="123"/>
      <c r="N696" s="123"/>
      <c r="O696" s="123"/>
      <c r="P696" s="123"/>
      <c r="Q696" s="123"/>
      <c r="R696" s="123"/>
      <c r="S696" s="123"/>
      <c r="T696" s="123"/>
      <c r="U696" s="123"/>
      <c r="V696" s="123"/>
      <c r="W696" s="123"/>
      <c r="X696" s="123"/>
      <c r="Y696" s="123"/>
    </row>
    <row r="697" spans="1:25" ht="15.75" customHeight="1" x14ac:dyDescent="0.2">
      <c r="A697" s="182"/>
      <c r="B697" s="175"/>
      <c r="C697" s="176"/>
      <c r="D697" s="176"/>
      <c r="E697" s="176"/>
      <c r="F697" s="123"/>
      <c r="G697" s="123"/>
      <c r="H697" s="123"/>
      <c r="I697" s="123"/>
      <c r="J697" s="174"/>
      <c r="K697" s="182"/>
      <c r="L697" s="123"/>
      <c r="M697" s="123"/>
      <c r="N697" s="123"/>
      <c r="O697" s="123"/>
      <c r="P697" s="123"/>
      <c r="Q697" s="123"/>
      <c r="R697" s="123"/>
      <c r="S697" s="123"/>
      <c r="T697" s="123"/>
      <c r="U697" s="123"/>
      <c r="V697" s="123"/>
      <c r="W697" s="123"/>
      <c r="X697" s="123"/>
      <c r="Y697" s="123"/>
    </row>
    <row r="698" spans="1:25" ht="15.75" customHeight="1" x14ac:dyDescent="0.2">
      <c r="A698" s="182"/>
      <c r="B698" s="175"/>
      <c r="C698" s="176"/>
      <c r="D698" s="176"/>
      <c r="E698" s="176"/>
      <c r="F698" s="123"/>
      <c r="G698" s="123"/>
      <c r="H698" s="123"/>
      <c r="I698" s="123"/>
      <c r="J698" s="174"/>
      <c r="K698" s="182"/>
      <c r="L698" s="123"/>
      <c r="M698" s="123"/>
      <c r="N698" s="123"/>
      <c r="O698" s="123"/>
      <c r="P698" s="123"/>
      <c r="Q698" s="123"/>
      <c r="R698" s="123"/>
      <c r="S698" s="123"/>
      <c r="T698" s="123"/>
      <c r="U698" s="123"/>
      <c r="V698" s="123"/>
      <c r="W698" s="123"/>
      <c r="X698" s="123"/>
      <c r="Y698" s="123"/>
    </row>
    <row r="699" spans="1:25" ht="15.75" customHeight="1" x14ac:dyDescent="0.2">
      <c r="A699" s="182"/>
      <c r="B699" s="175"/>
      <c r="C699" s="176"/>
      <c r="D699" s="176"/>
      <c r="E699" s="176"/>
      <c r="F699" s="123"/>
      <c r="G699" s="123"/>
      <c r="H699" s="123"/>
      <c r="I699" s="123"/>
      <c r="J699" s="174"/>
      <c r="K699" s="182"/>
      <c r="L699" s="123"/>
      <c r="M699" s="123"/>
      <c r="N699" s="123"/>
      <c r="O699" s="123"/>
      <c r="P699" s="123"/>
      <c r="Q699" s="123"/>
      <c r="R699" s="123"/>
      <c r="S699" s="123"/>
      <c r="T699" s="123"/>
      <c r="U699" s="123"/>
      <c r="V699" s="123"/>
      <c r="W699" s="123"/>
      <c r="X699" s="123"/>
      <c r="Y699" s="123"/>
    </row>
    <row r="700" spans="1:25" ht="15.75" customHeight="1" x14ac:dyDescent="0.2">
      <c r="A700" s="182"/>
      <c r="B700" s="175"/>
      <c r="C700" s="176"/>
      <c r="D700" s="176"/>
      <c r="E700" s="176"/>
      <c r="F700" s="123"/>
      <c r="G700" s="123"/>
      <c r="H700" s="123"/>
      <c r="I700" s="123"/>
      <c r="J700" s="174"/>
      <c r="K700" s="182"/>
      <c r="L700" s="123"/>
      <c r="M700" s="123"/>
      <c r="N700" s="123"/>
      <c r="O700" s="123"/>
      <c r="P700" s="123"/>
      <c r="Q700" s="123"/>
      <c r="R700" s="123"/>
      <c r="S700" s="123"/>
      <c r="T700" s="123"/>
      <c r="U700" s="123"/>
      <c r="V700" s="123"/>
      <c r="W700" s="123"/>
      <c r="X700" s="123"/>
      <c r="Y700" s="123"/>
    </row>
    <row r="701" spans="1:25" ht="15.75" customHeight="1" x14ac:dyDescent="0.2">
      <c r="A701" s="182"/>
      <c r="B701" s="175"/>
      <c r="C701" s="176"/>
      <c r="D701" s="176"/>
      <c r="E701" s="176"/>
      <c r="F701" s="123"/>
      <c r="G701" s="123"/>
      <c r="H701" s="123"/>
      <c r="I701" s="123"/>
      <c r="J701" s="174"/>
      <c r="K701" s="182"/>
      <c r="L701" s="123"/>
      <c r="M701" s="123"/>
      <c r="N701" s="123"/>
      <c r="O701" s="123"/>
      <c r="P701" s="123"/>
      <c r="Q701" s="123"/>
      <c r="R701" s="123"/>
      <c r="S701" s="123"/>
      <c r="T701" s="123"/>
      <c r="U701" s="123"/>
      <c r="V701" s="123"/>
      <c r="W701" s="123"/>
      <c r="X701" s="123"/>
      <c r="Y701" s="123"/>
    </row>
    <row r="702" spans="1:25" ht="15.75" customHeight="1" x14ac:dyDescent="0.2">
      <c r="A702" s="182"/>
      <c r="B702" s="175"/>
      <c r="C702" s="176"/>
      <c r="D702" s="176"/>
      <c r="E702" s="176"/>
      <c r="F702" s="123"/>
      <c r="G702" s="123"/>
      <c r="H702" s="123"/>
      <c r="I702" s="123"/>
      <c r="J702" s="174"/>
      <c r="K702" s="182"/>
      <c r="L702" s="123"/>
      <c r="M702" s="123"/>
      <c r="N702" s="123"/>
      <c r="O702" s="123"/>
      <c r="P702" s="123"/>
      <c r="Q702" s="123"/>
      <c r="R702" s="123"/>
      <c r="S702" s="123"/>
      <c r="T702" s="123"/>
      <c r="U702" s="123"/>
      <c r="V702" s="123"/>
      <c r="W702" s="123"/>
      <c r="X702" s="123"/>
      <c r="Y702" s="123"/>
    </row>
    <row r="703" spans="1:25" ht="15.75" customHeight="1" x14ac:dyDescent="0.2">
      <c r="A703" s="182"/>
      <c r="B703" s="175"/>
      <c r="C703" s="176"/>
      <c r="D703" s="176"/>
      <c r="E703" s="176"/>
      <c r="F703" s="123"/>
      <c r="G703" s="123"/>
      <c r="H703" s="123"/>
      <c r="I703" s="123"/>
      <c r="J703" s="174"/>
      <c r="K703" s="182"/>
      <c r="L703" s="123"/>
      <c r="M703" s="123"/>
      <c r="N703" s="123"/>
      <c r="O703" s="123"/>
      <c r="P703" s="123"/>
      <c r="Q703" s="123"/>
      <c r="R703" s="123"/>
      <c r="S703" s="123"/>
      <c r="T703" s="123"/>
      <c r="U703" s="123"/>
      <c r="V703" s="123"/>
      <c r="W703" s="123"/>
      <c r="X703" s="123"/>
      <c r="Y703" s="123"/>
    </row>
    <row r="704" spans="1:25" ht="15.75" customHeight="1" x14ac:dyDescent="0.2">
      <c r="A704" s="182"/>
      <c r="B704" s="175"/>
      <c r="C704" s="176"/>
      <c r="D704" s="176"/>
      <c r="E704" s="176"/>
      <c r="F704" s="123"/>
      <c r="G704" s="123"/>
      <c r="H704" s="123"/>
      <c r="I704" s="123"/>
      <c r="J704" s="174"/>
      <c r="K704" s="182"/>
      <c r="L704" s="123"/>
      <c r="M704" s="123"/>
      <c r="N704" s="123"/>
      <c r="O704" s="123"/>
      <c r="P704" s="123"/>
      <c r="Q704" s="123"/>
      <c r="R704" s="123"/>
      <c r="S704" s="123"/>
      <c r="T704" s="123"/>
      <c r="U704" s="123"/>
      <c r="V704" s="123"/>
      <c r="W704" s="123"/>
      <c r="X704" s="123"/>
      <c r="Y704" s="123"/>
    </row>
    <row r="705" spans="1:25" ht="15.75" customHeight="1" x14ac:dyDescent="0.2">
      <c r="A705" s="182"/>
      <c r="B705" s="175"/>
      <c r="C705" s="176"/>
      <c r="D705" s="176"/>
      <c r="E705" s="176"/>
      <c r="F705" s="123"/>
      <c r="G705" s="123"/>
      <c r="H705" s="123"/>
      <c r="I705" s="123"/>
      <c r="J705" s="174"/>
      <c r="K705" s="182"/>
      <c r="L705" s="123"/>
      <c r="M705" s="123"/>
      <c r="N705" s="123"/>
      <c r="O705" s="123"/>
      <c r="P705" s="123"/>
      <c r="Q705" s="123"/>
      <c r="R705" s="123"/>
      <c r="S705" s="123"/>
      <c r="T705" s="123"/>
      <c r="U705" s="123"/>
      <c r="V705" s="123"/>
      <c r="W705" s="123"/>
      <c r="X705" s="123"/>
      <c r="Y705" s="123"/>
    </row>
    <row r="706" spans="1:25" ht="15.75" customHeight="1" x14ac:dyDescent="0.2">
      <c r="A706" s="182"/>
      <c r="B706" s="175"/>
      <c r="C706" s="176"/>
      <c r="D706" s="176"/>
      <c r="E706" s="176"/>
      <c r="F706" s="123"/>
      <c r="G706" s="123"/>
      <c r="H706" s="123"/>
      <c r="I706" s="123"/>
      <c r="J706" s="174"/>
      <c r="K706" s="182"/>
      <c r="L706" s="123"/>
      <c r="M706" s="123"/>
      <c r="N706" s="123"/>
      <c r="O706" s="123"/>
      <c r="P706" s="123"/>
      <c r="Q706" s="123"/>
      <c r="R706" s="123"/>
      <c r="S706" s="123"/>
      <c r="T706" s="123"/>
      <c r="U706" s="123"/>
      <c r="V706" s="123"/>
      <c r="W706" s="123"/>
      <c r="X706" s="123"/>
      <c r="Y706" s="123"/>
    </row>
    <row r="707" spans="1:25" ht="15.75" customHeight="1" x14ac:dyDescent="0.2">
      <c r="A707" s="182"/>
      <c r="B707" s="175"/>
      <c r="C707" s="176"/>
      <c r="D707" s="176"/>
      <c r="E707" s="176"/>
      <c r="F707" s="123"/>
      <c r="G707" s="123"/>
      <c r="H707" s="123"/>
      <c r="I707" s="123"/>
      <c r="J707" s="174"/>
      <c r="K707" s="182"/>
      <c r="L707" s="123"/>
      <c r="M707" s="123"/>
      <c r="N707" s="123"/>
      <c r="O707" s="123"/>
      <c r="P707" s="123"/>
      <c r="Q707" s="123"/>
      <c r="R707" s="123"/>
      <c r="S707" s="123"/>
      <c r="T707" s="123"/>
      <c r="U707" s="123"/>
      <c r="V707" s="123"/>
      <c r="W707" s="123"/>
      <c r="X707" s="123"/>
      <c r="Y707" s="123"/>
    </row>
    <row r="708" spans="1:25" ht="15.75" customHeight="1" x14ac:dyDescent="0.2">
      <c r="A708" s="182"/>
      <c r="B708" s="175"/>
      <c r="C708" s="176"/>
      <c r="D708" s="176"/>
      <c r="E708" s="176"/>
      <c r="F708" s="123"/>
      <c r="G708" s="123"/>
      <c r="H708" s="123"/>
      <c r="I708" s="123"/>
      <c r="J708" s="174"/>
      <c r="K708" s="182"/>
      <c r="L708" s="123"/>
      <c r="M708" s="123"/>
      <c r="N708" s="123"/>
      <c r="O708" s="123"/>
      <c r="P708" s="123"/>
      <c r="Q708" s="123"/>
      <c r="R708" s="123"/>
      <c r="S708" s="123"/>
      <c r="T708" s="123"/>
      <c r="U708" s="123"/>
      <c r="V708" s="123"/>
      <c r="W708" s="123"/>
      <c r="X708" s="123"/>
      <c r="Y708" s="123"/>
    </row>
    <row r="709" spans="1:25" ht="15.75" customHeight="1" x14ac:dyDescent="0.2">
      <c r="A709" s="182"/>
      <c r="B709" s="175"/>
      <c r="C709" s="176"/>
      <c r="D709" s="176"/>
      <c r="E709" s="176"/>
      <c r="F709" s="123"/>
      <c r="G709" s="123"/>
      <c r="H709" s="123"/>
      <c r="I709" s="123"/>
      <c r="J709" s="174"/>
      <c r="K709" s="182"/>
      <c r="L709" s="123"/>
      <c r="M709" s="123"/>
      <c r="N709" s="123"/>
      <c r="O709" s="123"/>
      <c r="P709" s="123"/>
      <c r="Q709" s="123"/>
      <c r="R709" s="123"/>
      <c r="S709" s="123"/>
      <c r="T709" s="123"/>
      <c r="U709" s="123"/>
      <c r="V709" s="123"/>
      <c r="W709" s="123"/>
      <c r="X709" s="123"/>
      <c r="Y709" s="123"/>
    </row>
    <row r="710" spans="1:25" ht="15.75" customHeight="1" x14ac:dyDescent="0.2">
      <c r="A710" s="182"/>
      <c r="B710" s="175"/>
      <c r="C710" s="176"/>
      <c r="D710" s="176"/>
      <c r="E710" s="176"/>
      <c r="F710" s="123"/>
      <c r="G710" s="123"/>
      <c r="H710" s="123"/>
      <c r="I710" s="123"/>
      <c r="J710" s="174"/>
      <c r="K710" s="182"/>
      <c r="L710" s="123"/>
      <c r="M710" s="123"/>
      <c r="N710" s="123"/>
      <c r="O710" s="123"/>
      <c r="P710" s="123"/>
      <c r="Q710" s="123"/>
      <c r="R710" s="123"/>
      <c r="S710" s="123"/>
      <c r="T710" s="123"/>
      <c r="U710" s="123"/>
      <c r="V710" s="123"/>
      <c r="W710" s="123"/>
      <c r="X710" s="123"/>
      <c r="Y710" s="123"/>
    </row>
    <row r="711" spans="1:25" ht="15.75" customHeight="1" x14ac:dyDescent="0.2">
      <c r="A711" s="182"/>
      <c r="B711" s="175"/>
      <c r="C711" s="176"/>
      <c r="D711" s="176"/>
      <c r="E711" s="176"/>
      <c r="F711" s="123"/>
      <c r="G711" s="123"/>
      <c r="H711" s="123"/>
      <c r="I711" s="123"/>
      <c r="J711" s="174"/>
      <c r="K711" s="182"/>
      <c r="L711" s="123"/>
      <c r="M711" s="123"/>
      <c r="N711" s="123"/>
      <c r="O711" s="123"/>
      <c r="P711" s="123"/>
      <c r="Q711" s="123"/>
      <c r="R711" s="123"/>
      <c r="S711" s="123"/>
      <c r="T711" s="123"/>
      <c r="U711" s="123"/>
      <c r="V711" s="123"/>
      <c r="W711" s="123"/>
      <c r="X711" s="123"/>
      <c r="Y711" s="123"/>
    </row>
    <row r="712" spans="1:25" ht="15.75" customHeight="1" x14ac:dyDescent="0.2">
      <c r="A712" s="182"/>
      <c r="B712" s="175"/>
      <c r="C712" s="176"/>
      <c r="D712" s="176"/>
      <c r="E712" s="176"/>
      <c r="F712" s="123"/>
      <c r="G712" s="123"/>
      <c r="H712" s="123"/>
      <c r="I712" s="123"/>
      <c r="J712" s="174"/>
      <c r="K712" s="182"/>
      <c r="L712" s="123"/>
      <c r="M712" s="123"/>
      <c r="N712" s="123"/>
      <c r="O712" s="123"/>
      <c r="P712" s="123"/>
      <c r="Q712" s="123"/>
      <c r="R712" s="123"/>
      <c r="S712" s="123"/>
      <c r="T712" s="123"/>
      <c r="U712" s="123"/>
      <c r="V712" s="123"/>
      <c r="W712" s="123"/>
      <c r="X712" s="123"/>
      <c r="Y712" s="123"/>
    </row>
    <row r="713" spans="1:25" ht="15.75" customHeight="1" x14ac:dyDescent="0.2">
      <c r="A713" s="182"/>
      <c r="B713" s="175"/>
      <c r="C713" s="176"/>
      <c r="D713" s="176"/>
      <c r="E713" s="176"/>
      <c r="F713" s="123"/>
      <c r="G713" s="123"/>
      <c r="H713" s="123"/>
      <c r="I713" s="123"/>
      <c r="J713" s="174"/>
      <c r="K713" s="182"/>
      <c r="L713" s="123"/>
      <c r="M713" s="123"/>
      <c r="N713" s="123"/>
      <c r="O713" s="123"/>
      <c r="P713" s="123"/>
      <c r="Q713" s="123"/>
      <c r="R713" s="123"/>
      <c r="S713" s="123"/>
      <c r="T713" s="123"/>
      <c r="U713" s="123"/>
      <c r="V713" s="123"/>
      <c r="W713" s="123"/>
      <c r="X713" s="123"/>
      <c r="Y713" s="123"/>
    </row>
    <row r="714" spans="1:25" ht="15.75" customHeight="1" x14ac:dyDescent="0.2">
      <c r="A714" s="182"/>
      <c r="B714" s="175"/>
      <c r="C714" s="176"/>
      <c r="D714" s="176"/>
      <c r="E714" s="176"/>
      <c r="F714" s="123"/>
      <c r="G714" s="123"/>
      <c r="H714" s="123"/>
      <c r="I714" s="123"/>
      <c r="J714" s="174"/>
      <c r="K714" s="182"/>
      <c r="L714" s="123"/>
      <c r="M714" s="123"/>
      <c r="N714" s="123"/>
      <c r="O714" s="123"/>
      <c r="P714" s="123"/>
      <c r="Q714" s="123"/>
      <c r="R714" s="123"/>
      <c r="S714" s="123"/>
      <c r="T714" s="123"/>
      <c r="U714" s="123"/>
      <c r="V714" s="123"/>
      <c r="W714" s="123"/>
      <c r="X714" s="123"/>
      <c r="Y714" s="123"/>
    </row>
    <row r="715" spans="1:25" ht="15.75" customHeight="1" x14ac:dyDescent="0.2">
      <c r="A715" s="182"/>
      <c r="B715" s="175"/>
      <c r="C715" s="176"/>
      <c r="D715" s="176"/>
      <c r="E715" s="176"/>
      <c r="F715" s="123"/>
      <c r="G715" s="123"/>
      <c r="H715" s="123"/>
      <c r="I715" s="123"/>
      <c r="J715" s="174"/>
      <c r="K715" s="182"/>
      <c r="L715" s="123"/>
      <c r="M715" s="123"/>
      <c r="N715" s="123"/>
      <c r="O715" s="123"/>
      <c r="P715" s="123"/>
      <c r="Q715" s="123"/>
      <c r="R715" s="123"/>
      <c r="S715" s="123"/>
      <c r="T715" s="123"/>
      <c r="U715" s="123"/>
      <c r="V715" s="123"/>
      <c r="W715" s="123"/>
      <c r="X715" s="123"/>
      <c r="Y715" s="123"/>
    </row>
    <row r="716" spans="1:25" ht="15.75" customHeight="1" x14ac:dyDescent="0.2">
      <c r="A716" s="182"/>
      <c r="B716" s="175"/>
      <c r="C716" s="176"/>
      <c r="D716" s="176"/>
      <c r="E716" s="176"/>
      <c r="F716" s="123"/>
      <c r="G716" s="123"/>
      <c r="H716" s="123"/>
      <c r="I716" s="123"/>
      <c r="J716" s="174"/>
      <c r="K716" s="182"/>
      <c r="L716" s="123"/>
      <c r="M716" s="123"/>
      <c r="N716" s="123"/>
      <c r="O716" s="123"/>
      <c r="P716" s="123"/>
      <c r="Q716" s="123"/>
      <c r="R716" s="123"/>
      <c r="S716" s="123"/>
      <c r="T716" s="123"/>
      <c r="U716" s="123"/>
      <c r="V716" s="123"/>
      <c r="W716" s="123"/>
      <c r="X716" s="123"/>
      <c r="Y716" s="123"/>
    </row>
    <row r="717" spans="1:25" ht="15.75" customHeight="1" x14ac:dyDescent="0.2">
      <c r="A717" s="182"/>
      <c r="B717" s="175"/>
      <c r="C717" s="176"/>
      <c r="D717" s="176"/>
      <c r="E717" s="176"/>
      <c r="F717" s="123"/>
      <c r="G717" s="123"/>
      <c r="H717" s="123"/>
      <c r="I717" s="123"/>
      <c r="J717" s="174"/>
      <c r="K717" s="182"/>
      <c r="L717" s="123"/>
      <c r="M717" s="123"/>
      <c r="N717" s="123"/>
      <c r="O717" s="123"/>
      <c r="P717" s="123"/>
      <c r="Q717" s="123"/>
      <c r="R717" s="123"/>
      <c r="S717" s="123"/>
      <c r="T717" s="123"/>
      <c r="U717" s="123"/>
      <c r="V717" s="123"/>
      <c r="W717" s="123"/>
      <c r="X717" s="123"/>
      <c r="Y717" s="123"/>
    </row>
    <row r="718" spans="1:25" ht="15.75" customHeight="1" x14ac:dyDescent="0.2">
      <c r="A718" s="182"/>
      <c r="B718" s="175"/>
      <c r="C718" s="176"/>
      <c r="D718" s="176"/>
      <c r="E718" s="176"/>
      <c r="F718" s="123"/>
      <c r="G718" s="123"/>
      <c r="H718" s="123"/>
      <c r="I718" s="123"/>
      <c r="J718" s="174"/>
      <c r="K718" s="182"/>
      <c r="L718" s="123"/>
      <c r="M718" s="123"/>
      <c r="N718" s="123"/>
      <c r="O718" s="123"/>
      <c r="P718" s="123"/>
      <c r="Q718" s="123"/>
      <c r="R718" s="123"/>
      <c r="S718" s="123"/>
      <c r="T718" s="123"/>
      <c r="U718" s="123"/>
      <c r="V718" s="123"/>
      <c r="W718" s="123"/>
      <c r="X718" s="123"/>
      <c r="Y718" s="123"/>
    </row>
    <row r="719" spans="1:25" ht="15.75" customHeight="1" x14ac:dyDescent="0.2">
      <c r="A719" s="182"/>
      <c r="B719" s="175"/>
      <c r="C719" s="176"/>
      <c r="D719" s="176"/>
      <c r="E719" s="176"/>
      <c r="F719" s="123"/>
      <c r="G719" s="123"/>
      <c r="H719" s="123"/>
      <c r="I719" s="123"/>
      <c r="J719" s="174"/>
      <c r="K719" s="182"/>
      <c r="L719" s="123"/>
      <c r="M719" s="123"/>
      <c r="N719" s="123"/>
      <c r="O719" s="123"/>
      <c r="P719" s="123"/>
      <c r="Q719" s="123"/>
      <c r="R719" s="123"/>
      <c r="S719" s="123"/>
      <c r="T719" s="123"/>
      <c r="U719" s="123"/>
      <c r="V719" s="123"/>
      <c r="W719" s="123"/>
      <c r="X719" s="123"/>
      <c r="Y719" s="123"/>
    </row>
    <row r="720" spans="1:25" ht="15.75" customHeight="1" x14ac:dyDescent="0.2">
      <c r="A720" s="182"/>
      <c r="B720" s="175"/>
      <c r="C720" s="176"/>
      <c r="D720" s="176"/>
      <c r="E720" s="176"/>
      <c r="F720" s="123"/>
      <c r="G720" s="123"/>
      <c r="H720" s="123"/>
      <c r="I720" s="123"/>
      <c r="J720" s="174"/>
      <c r="K720" s="182"/>
      <c r="L720" s="123"/>
      <c r="M720" s="123"/>
      <c r="N720" s="123"/>
      <c r="O720" s="123"/>
      <c r="P720" s="123"/>
      <c r="Q720" s="123"/>
      <c r="R720" s="123"/>
      <c r="S720" s="123"/>
      <c r="T720" s="123"/>
      <c r="U720" s="123"/>
      <c r="V720" s="123"/>
      <c r="W720" s="123"/>
      <c r="X720" s="123"/>
      <c r="Y720" s="123"/>
    </row>
    <row r="721" spans="1:25" ht="15.75" customHeight="1" x14ac:dyDescent="0.2">
      <c r="A721" s="182"/>
      <c r="B721" s="175"/>
      <c r="C721" s="176"/>
      <c r="D721" s="176"/>
      <c r="E721" s="176"/>
      <c r="F721" s="123"/>
      <c r="G721" s="123"/>
      <c r="H721" s="123"/>
      <c r="I721" s="123"/>
      <c r="J721" s="174"/>
      <c r="K721" s="182"/>
      <c r="L721" s="123"/>
      <c r="M721" s="123"/>
      <c r="N721" s="123"/>
      <c r="O721" s="123"/>
      <c r="P721" s="123"/>
      <c r="Q721" s="123"/>
      <c r="R721" s="123"/>
      <c r="S721" s="123"/>
      <c r="T721" s="123"/>
      <c r="U721" s="123"/>
      <c r="V721" s="123"/>
      <c r="W721" s="123"/>
      <c r="X721" s="123"/>
      <c r="Y721" s="123"/>
    </row>
    <row r="722" spans="1:25" ht="15.75" customHeight="1" x14ac:dyDescent="0.2">
      <c r="A722" s="182"/>
      <c r="B722" s="175"/>
      <c r="C722" s="176"/>
      <c r="D722" s="176"/>
      <c r="E722" s="176"/>
      <c r="F722" s="123"/>
      <c r="G722" s="123"/>
      <c r="H722" s="123"/>
      <c r="I722" s="123"/>
      <c r="J722" s="174"/>
      <c r="K722" s="182"/>
      <c r="L722" s="123"/>
      <c r="M722" s="123"/>
      <c r="N722" s="123"/>
      <c r="O722" s="123"/>
      <c r="P722" s="123"/>
      <c r="Q722" s="123"/>
      <c r="R722" s="123"/>
      <c r="S722" s="123"/>
      <c r="T722" s="123"/>
      <c r="U722" s="123"/>
      <c r="V722" s="123"/>
      <c r="W722" s="123"/>
      <c r="X722" s="123"/>
      <c r="Y722" s="123"/>
    </row>
    <row r="723" spans="1:25" ht="15.75" customHeight="1" x14ac:dyDescent="0.2">
      <c r="A723" s="182"/>
      <c r="B723" s="175"/>
      <c r="C723" s="176"/>
      <c r="D723" s="176"/>
      <c r="E723" s="176"/>
      <c r="F723" s="123"/>
      <c r="G723" s="123"/>
      <c r="H723" s="123"/>
      <c r="I723" s="123"/>
      <c r="J723" s="174"/>
      <c r="K723" s="182"/>
      <c r="L723" s="123"/>
      <c r="M723" s="123"/>
      <c r="N723" s="123"/>
      <c r="O723" s="123"/>
      <c r="P723" s="123"/>
      <c r="Q723" s="123"/>
      <c r="R723" s="123"/>
      <c r="S723" s="123"/>
      <c r="T723" s="123"/>
      <c r="U723" s="123"/>
      <c r="V723" s="123"/>
      <c r="W723" s="123"/>
      <c r="X723" s="123"/>
      <c r="Y723" s="123"/>
    </row>
    <row r="724" spans="1:25" ht="15.75" customHeight="1" x14ac:dyDescent="0.2">
      <c r="A724" s="182"/>
      <c r="B724" s="175"/>
      <c r="C724" s="176"/>
      <c r="D724" s="176"/>
      <c r="E724" s="176"/>
      <c r="F724" s="123"/>
      <c r="G724" s="123"/>
      <c r="H724" s="123"/>
      <c r="I724" s="123"/>
      <c r="J724" s="174"/>
      <c r="K724" s="182"/>
      <c r="L724" s="123"/>
      <c r="M724" s="123"/>
      <c r="N724" s="123"/>
      <c r="O724" s="123"/>
      <c r="P724" s="123"/>
      <c r="Q724" s="123"/>
      <c r="R724" s="123"/>
      <c r="S724" s="123"/>
      <c r="T724" s="123"/>
      <c r="U724" s="123"/>
      <c r="V724" s="123"/>
      <c r="W724" s="123"/>
      <c r="X724" s="123"/>
      <c r="Y724" s="123"/>
    </row>
    <row r="725" spans="1:25" ht="15.75" customHeight="1" x14ac:dyDescent="0.2">
      <c r="A725" s="182"/>
      <c r="B725" s="175"/>
      <c r="C725" s="176"/>
      <c r="D725" s="176"/>
      <c r="E725" s="176"/>
      <c r="F725" s="123"/>
      <c r="G725" s="123"/>
      <c r="H725" s="123"/>
      <c r="I725" s="123"/>
      <c r="J725" s="174"/>
      <c r="K725" s="182"/>
      <c r="L725" s="123"/>
      <c r="M725" s="123"/>
      <c r="N725" s="123"/>
      <c r="O725" s="123"/>
      <c r="P725" s="123"/>
      <c r="Q725" s="123"/>
      <c r="R725" s="123"/>
      <c r="S725" s="123"/>
      <c r="T725" s="123"/>
      <c r="U725" s="123"/>
      <c r="V725" s="123"/>
      <c r="W725" s="123"/>
      <c r="X725" s="123"/>
      <c r="Y725" s="123"/>
    </row>
    <row r="726" spans="1:25" ht="15.75" customHeight="1" x14ac:dyDescent="0.2">
      <c r="A726" s="182"/>
      <c r="B726" s="175"/>
      <c r="C726" s="176"/>
      <c r="D726" s="176"/>
      <c r="E726" s="176"/>
      <c r="F726" s="123"/>
      <c r="G726" s="123"/>
      <c r="H726" s="123"/>
      <c r="I726" s="123"/>
      <c r="J726" s="174"/>
      <c r="K726" s="182"/>
      <c r="L726" s="123"/>
      <c r="M726" s="123"/>
      <c r="N726" s="123"/>
      <c r="O726" s="123"/>
      <c r="P726" s="123"/>
      <c r="Q726" s="123"/>
      <c r="R726" s="123"/>
      <c r="S726" s="123"/>
      <c r="T726" s="123"/>
      <c r="U726" s="123"/>
      <c r="V726" s="123"/>
      <c r="W726" s="123"/>
      <c r="X726" s="123"/>
      <c r="Y726" s="123"/>
    </row>
    <row r="727" spans="1:25" ht="15.75" customHeight="1" x14ac:dyDescent="0.2">
      <c r="A727" s="182"/>
      <c r="B727" s="175"/>
      <c r="C727" s="176"/>
      <c r="D727" s="176"/>
      <c r="E727" s="176"/>
      <c r="F727" s="123"/>
      <c r="G727" s="123"/>
      <c r="H727" s="123"/>
      <c r="I727" s="123"/>
      <c r="J727" s="174"/>
      <c r="K727" s="182"/>
      <c r="L727" s="123"/>
      <c r="M727" s="123"/>
      <c r="N727" s="123"/>
      <c r="O727" s="123"/>
      <c r="P727" s="123"/>
      <c r="Q727" s="123"/>
      <c r="R727" s="123"/>
      <c r="S727" s="123"/>
      <c r="T727" s="123"/>
      <c r="U727" s="123"/>
      <c r="V727" s="123"/>
      <c r="W727" s="123"/>
      <c r="X727" s="123"/>
      <c r="Y727" s="123"/>
    </row>
    <row r="728" spans="1:25" ht="15.75" customHeight="1" x14ac:dyDescent="0.2">
      <c r="A728" s="182"/>
      <c r="B728" s="175"/>
      <c r="C728" s="176"/>
      <c r="D728" s="176"/>
      <c r="E728" s="176"/>
      <c r="F728" s="123"/>
      <c r="G728" s="123"/>
      <c r="H728" s="123"/>
      <c r="I728" s="123"/>
      <c r="J728" s="174"/>
      <c r="K728" s="182"/>
      <c r="L728" s="123"/>
      <c r="M728" s="123"/>
      <c r="N728" s="123"/>
      <c r="O728" s="123"/>
      <c r="P728" s="123"/>
      <c r="Q728" s="123"/>
      <c r="R728" s="123"/>
      <c r="S728" s="123"/>
      <c r="T728" s="123"/>
      <c r="U728" s="123"/>
      <c r="V728" s="123"/>
      <c r="W728" s="123"/>
      <c r="X728" s="123"/>
      <c r="Y728" s="123"/>
    </row>
    <row r="729" spans="1:25" ht="15.75" customHeight="1" x14ac:dyDescent="0.2">
      <c r="A729" s="182"/>
      <c r="B729" s="175"/>
      <c r="C729" s="176"/>
      <c r="D729" s="176"/>
      <c r="E729" s="176"/>
      <c r="F729" s="123"/>
      <c r="G729" s="123"/>
      <c r="H729" s="123"/>
      <c r="I729" s="123"/>
      <c r="J729" s="174"/>
      <c r="K729" s="182"/>
      <c r="L729" s="123"/>
      <c r="M729" s="123"/>
      <c r="N729" s="123"/>
      <c r="O729" s="123"/>
      <c r="P729" s="123"/>
      <c r="Q729" s="123"/>
      <c r="R729" s="123"/>
      <c r="S729" s="123"/>
      <c r="T729" s="123"/>
      <c r="U729" s="123"/>
      <c r="V729" s="123"/>
      <c r="W729" s="123"/>
      <c r="X729" s="123"/>
      <c r="Y729" s="123"/>
    </row>
    <row r="730" spans="1:25" ht="15.75" customHeight="1" x14ac:dyDescent="0.2">
      <c r="A730" s="182"/>
      <c r="B730" s="175"/>
      <c r="C730" s="176"/>
      <c r="D730" s="176"/>
      <c r="E730" s="176"/>
      <c r="F730" s="123"/>
      <c r="G730" s="123"/>
      <c r="H730" s="123"/>
      <c r="I730" s="123"/>
      <c r="J730" s="174"/>
      <c r="K730" s="182"/>
      <c r="L730" s="123"/>
      <c r="M730" s="123"/>
      <c r="N730" s="123"/>
      <c r="O730" s="123"/>
      <c r="P730" s="123"/>
      <c r="Q730" s="123"/>
      <c r="R730" s="123"/>
      <c r="S730" s="123"/>
      <c r="T730" s="123"/>
      <c r="U730" s="123"/>
      <c r="V730" s="123"/>
      <c r="W730" s="123"/>
      <c r="X730" s="123"/>
      <c r="Y730" s="123"/>
    </row>
    <row r="731" spans="1:25" ht="15.75" customHeight="1" x14ac:dyDescent="0.2">
      <c r="A731" s="182"/>
      <c r="B731" s="175"/>
      <c r="C731" s="176"/>
      <c r="D731" s="176"/>
      <c r="E731" s="176"/>
      <c r="F731" s="123"/>
      <c r="G731" s="123"/>
      <c r="H731" s="123"/>
      <c r="I731" s="123"/>
      <c r="J731" s="174"/>
      <c r="K731" s="182"/>
      <c r="L731" s="123"/>
      <c r="M731" s="123"/>
      <c r="N731" s="123"/>
      <c r="O731" s="123"/>
      <c r="P731" s="123"/>
      <c r="Q731" s="123"/>
      <c r="R731" s="123"/>
      <c r="S731" s="123"/>
      <c r="T731" s="123"/>
      <c r="U731" s="123"/>
      <c r="V731" s="123"/>
      <c r="W731" s="123"/>
      <c r="X731" s="123"/>
      <c r="Y731" s="123"/>
    </row>
    <row r="732" spans="1:25" ht="15.75" customHeight="1" x14ac:dyDescent="0.2">
      <c r="A732" s="182"/>
      <c r="B732" s="175"/>
      <c r="C732" s="176"/>
      <c r="D732" s="176"/>
      <c r="E732" s="176"/>
      <c r="F732" s="123"/>
      <c r="G732" s="123"/>
      <c r="H732" s="123"/>
      <c r="I732" s="123"/>
      <c r="J732" s="174"/>
      <c r="K732" s="182"/>
      <c r="L732" s="123"/>
      <c r="M732" s="123"/>
      <c r="N732" s="123"/>
      <c r="O732" s="123"/>
      <c r="P732" s="123"/>
      <c r="Q732" s="123"/>
      <c r="R732" s="123"/>
      <c r="S732" s="123"/>
      <c r="T732" s="123"/>
      <c r="U732" s="123"/>
      <c r="V732" s="123"/>
      <c r="W732" s="123"/>
      <c r="X732" s="123"/>
      <c r="Y732" s="123"/>
    </row>
    <row r="733" spans="1:25" ht="15.75" customHeight="1" x14ac:dyDescent="0.2">
      <c r="A733" s="182"/>
      <c r="B733" s="175"/>
      <c r="C733" s="176"/>
      <c r="D733" s="176"/>
      <c r="E733" s="176"/>
      <c r="F733" s="123"/>
      <c r="G733" s="123"/>
      <c r="H733" s="123"/>
      <c r="I733" s="123"/>
      <c r="J733" s="174"/>
      <c r="K733" s="182"/>
      <c r="L733" s="123"/>
      <c r="M733" s="123"/>
      <c r="N733" s="123"/>
      <c r="O733" s="123"/>
      <c r="P733" s="123"/>
      <c r="Q733" s="123"/>
      <c r="R733" s="123"/>
      <c r="S733" s="123"/>
      <c r="T733" s="123"/>
      <c r="U733" s="123"/>
      <c r="V733" s="123"/>
      <c r="W733" s="123"/>
      <c r="X733" s="123"/>
      <c r="Y733" s="123"/>
    </row>
    <row r="734" spans="1:25" ht="15.75" customHeight="1" x14ac:dyDescent="0.2">
      <c r="A734" s="182"/>
      <c r="B734" s="175"/>
      <c r="C734" s="176"/>
      <c r="D734" s="176"/>
      <c r="E734" s="176"/>
      <c r="F734" s="123"/>
      <c r="G734" s="123"/>
      <c r="H734" s="123"/>
      <c r="I734" s="123"/>
      <c r="J734" s="174"/>
      <c r="K734" s="182"/>
      <c r="L734" s="123"/>
      <c r="M734" s="123"/>
      <c r="N734" s="123"/>
      <c r="O734" s="123"/>
      <c r="P734" s="123"/>
      <c r="Q734" s="123"/>
      <c r="R734" s="123"/>
      <c r="S734" s="123"/>
      <c r="T734" s="123"/>
      <c r="U734" s="123"/>
      <c r="V734" s="123"/>
      <c r="W734" s="123"/>
      <c r="X734" s="123"/>
      <c r="Y734" s="123"/>
    </row>
    <row r="735" spans="1:25" ht="15.75" customHeight="1" x14ac:dyDescent="0.2">
      <c r="A735" s="182"/>
      <c r="B735" s="175"/>
      <c r="C735" s="176"/>
      <c r="D735" s="176"/>
      <c r="E735" s="176"/>
      <c r="F735" s="123"/>
      <c r="G735" s="123"/>
      <c r="H735" s="123"/>
      <c r="I735" s="123"/>
      <c r="J735" s="174"/>
      <c r="K735" s="182"/>
      <c r="L735" s="123"/>
      <c r="M735" s="123"/>
      <c r="N735" s="123"/>
      <c r="O735" s="123"/>
      <c r="P735" s="123"/>
      <c r="Q735" s="123"/>
      <c r="R735" s="123"/>
      <c r="S735" s="123"/>
      <c r="T735" s="123"/>
      <c r="U735" s="123"/>
      <c r="V735" s="123"/>
      <c r="W735" s="123"/>
      <c r="X735" s="123"/>
      <c r="Y735" s="123"/>
    </row>
    <row r="736" spans="1:25" ht="15.75" customHeight="1" x14ac:dyDescent="0.2">
      <c r="A736" s="182"/>
      <c r="B736" s="175"/>
      <c r="C736" s="176"/>
      <c r="D736" s="176"/>
      <c r="E736" s="176"/>
      <c r="F736" s="123"/>
      <c r="G736" s="123"/>
      <c r="H736" s="123"/>
      <c r="I736" s="123"/>
      <c r="J736" s="174"/>
      <c r="K736" s="182"/>
      <c r="L736" s="123"/>
      <c r="M736" s="123"/>
      <c r="N736" s="123"/>
      <c r="O736" s="123"/>
      <c r="P736" s="123"/>
      <c r="Q736" s="123"/>
      <c r="R736" s="123"/>
      <c r="S736" s="123"/>
      <c r="T736" s="123"/>
      <c r="U736" s="123"/>
      <c r="V736" s="123"/>
      <c r="W736" s="123"/>
      <c r="X736" s="123"/>
      <c r="Y736" s="123"/>
    </row>
    <row r="737" spans="1:25" ht="15.75" customHeight="1" x14ac:dyDescent="0.2">
      <c r="A737" s="182"/>
      <c r="B737" s="175"/>
      <c r="C737" s="176"/>
      <c r="D737" s="176"/>
      <c r="E737" s="176"/>
      <c r="F737" s="123"/>
      <c r="G737" s="123"/>
      <c r="H737" s="123"/>
      <c r="I737" s="123"/>
      <c r="J737" s="174"/>
      <c r="K737" s="182"/>
      <c r="L737" s="123"/>
      <c r="M737" s="123"/>
      <c r="N737" s="123"/>
      <c r="O737" s="123"/>
      <c r="P737" s="123"/>
      <c r="Q737" s="123"/>
      <c r="R737" s="123"/>
      <c r="S737" s="123"/>
      <c r="T737" s="123"/>
      <c r="U737" s="123"/>
      <c r="V737" s="123"/>
      <c r="W737" s="123"/>
      <c r="X737" s="123"/>
      <c r="Y737" s="123"/>
    </row>
    <row r="738" spans="1:25" ht="15.75" customHeight="1" x14ac:dyDescent="0.2">
      <c r="A738" s="182"/>
      <c r="B738" s="175"/>
      <c r="C738" s="176"/>
      <c r="D738" s="176"/>
      <c r="E738" s="176"/>
      <c r="F738" s="123"/>
      <c r="G738" s="123"/>
      <c r="H738" s="123"/>
      <c r="I738" s="123"/>
      <c r="J738" s="174"/>
      <c r="K738" s="182"/>
      <c r="L738" s="123"/>
      <c r="M738" s="123"/>
      <c r="N738" s="123"/>
      <c r="O738" s="123"/>
      <c r="P738" s="123"/>
      <c r="Q738" s="123"/>
      <c r="R738" s="123"/>
      <c r="S738" s="123"/>
      <c r="T738" s="123"/>
      <c r="U738" s="123"/>
      <c r="V738" s="123"/>
      <c r="W738" s="123"/>
      <c r="X738" s="123"/>
      <c r="Y738" s="123"/>
    </row>
    <row r="739" spans="1:25" ht="15.75" customHeight="1" x14ac:dyDescent="0.2">
      <c r="A739" s="182"/>
      <c r="B739" s="175"/>
      <c r="C739" s="176"/>
      <c r="D739" s="176"/>
      <c r="E739" s="176"/>
      <c r="F739" s="123"/>
      <c r="G739" s="123"/>
      <c r="H739" s="123"/>
      <c r="I739" s="123"/>
      <c r="J739" s="174"/>
      <c r="K739" s="182"/>
      <c r="L739" s="123"/>
      <c r="M739" s="123"/>
      <c r="N739" s="123"/>
      <c r="O739" s="123"/>
      <c r="P739" s="123"/>
      <c r="Q739" s="123"/>
      <c r="R739" s="123"/>
      <c r="S739" s="123"/>
      <c r="T739" s="123"/>
      <c r="U739" s="123"/>
      <c r="V739" s="123"/>
      <c r="W739" s="123"/>
      <c r="X739" s="123"/>
      <c r="Y739" s="123"/>
    </row>
    <row r="740" spans="1:25" ht="15.75" customHeight="1" x14ac:dyDescent="0.2">
      <c r="A740" s="182"/>
      <c r="B740" s="175"/>
      <c r="C740" s="176"/>
      <c r="D740" s="176"/>
      <c r="E740" s="176"/>
      <c r="F740" s="123"/>
      <c r="G740" s="123"/>
      <c r="H740" s="123"/>
      <c r="I740" s="123"/>
      <c r="J740" s="174"/>
      <c r="K740" s="182"/>
      <c r="L740" s="123"/>
      <c r="M740" s="123"/>
      <c r="N740" s="123"/>
      <c r="O740" s="123"/>
      <c r="P740" s="123"/>
      <c r="Q740" s="123"/>
      <c r="R740" s="123"/>
      <c r="S740" s="123"/>
      <c r="T740" s="123"/>
      <c r="U740" s="123"/>
      <c r="V740" s="123"/>
      <c r="W740" s="123"/>
      <c r="X740" s="123"/>
      <c r="Y740" s="123"/>
    </row>
    <row r="741" spans="1:25" ht="15.75" customHeight="1" x14ac:dyDescent="0.2">
      <c r="A741" s="182"/>
      <c r="B741" s="175"/>
      <c r="C741" s="176"/>
      <c r="D741" s="176"/>
      <c r="E741" s="176"/>
      <c r="F741" s="123"/>
      <c r="G741" s="123"/>
      <c r="H741" s="123"/>
      <c r="I741" s="123"/>
      <c r="J741" s="174"/>
      <c r="K741" s="182"/>
      <c r="L741" s="123"/>
      <c r="M741" s="123"/>
      <c r="N741" s="123"/>
      <c r="O741" s="123"/>
      <c r="P741" s="123"/>
      <c r="Q741" s="123"/>
      <c r="R741" s="123"/>
      <c r="S741" s="123"/>
      <c r="T741" s="123"/>
      <c r="U741" s="123"/>
      <c r="V741" s="123"/>
      <c r="W741" s="123"/>
      <c r="X741" s="123"/>
      <c r="Y741" s="123"/>
    </row>
    <row r="742" spans="1:25" ht="15.75" customHeight="1" x14ac:dyDescent="0.2">
      <c r="A742" s="182"/>
      <c r="B742" s="175"/>
      <c r="C742" s="176"/>
      <c r="D742" s="176"/>
      <c r="E742" s="176"/>
      <c r="F742" s="123"/>
      <c r="G742" s="123"/>
      <c r="H742" s="123"/>
      <c r="I742" s="123"/>
      <c r="J742" s="174"/>
      <c r="K742" s="182"/>
      <c r="L742" s="123"/>
      <c r="M742" s="123"/>
      <c r="N742" s="123"/>
      <c r="O742" s="123"/>
      <c r="P742" s="123"/>
      <c r="Q742" s="123"/>
      <c r="R742" s="123"/>
      <c r="S742" s="123"/>
      <c r="T742" s="123"/>
      <c r="U742" s="123"/>
      <c r="V742" s="123"/>
      <c r="W742" s="123"/>
      <c r="X742" s="123"/>
      <c r="Y742" s="123"/>
    </row>
    <row r="743" spans="1:25" ht="15.75" customHeight="1" x14ac:dyDescent="0.2">
      <c r="A743" s="182"/>
      <c r="B743" s="175"/>
      <c r="C743" s="176"/>
      <c r="D743" s="176"/>
      <c r="E743" s="176"/>
      <c r="F743" s="123"/>
      <c r="G743" s="123"/>
      <c r="H743" s="123"/>
      <c r="I743" s="123"/>
      <c r="J743" s="174"/>
      <c r="K743" s="182"/>
      <c r="L743" s="123"/>
      <c r="M743" s="123"/>
      <c r="N743" s="123"/>
      <c r="O743" s="123"/>
      <c r="P743" s="123"/>
      <c r="Q743" s="123"/>
      <c r="R743" s="123"/>
      <c r="S743" s="123"/>
      <c r="T743" s="123"/>
      <c r="U743" s="123"/>
      <c r="V743" s="123"/>
      <c r="W743" s="123"/>
      <c r="X743" s="123"/>
      <c r="Y743" s="123"/>
    </row>
    <row r="744" spans="1:25" ht="15.75" customHeight="1" x14ac:dyDescent="0.2">
      <c r="A744" s="182"/>
      <c r="B744" s="175"/>
      <c r="C744" s="176"/>
      <c r="D744" s="176"/>
      <c r="E744" s="176"/>
      <c r="F744" s="123"/>
      <c r="G744" s="123"/>
      <c r="H744" s="123"/>
      <c r="I744" s="123"/>
      <c r="J744" s="174"/>
      <c r="K744" s="182"/>
      <c r="L744" s="123"/>
      <c r="M744" s="123"/>
      <c r="N744" s="123"/>
      <c r="O744" s="123"/>
      <c r="P744" s="123"/>
      <c r="Q744" s="123"/>
      <c r="R744" s="123"/>
      <c r="S744" s="123"/>
      <c r="T744" s="123"/>
      <c r="U744" s="123"/>
      <c r="V744" s="123"/>
      <c r="W744" s="123"/>
      <c r="X744" s="123"/>
      <c r="Y744" s="123"/>
    </row>
    <row r="745" spans="1:25" ht="15.75" customHeight="1" x14ac:dyDescent="0.2">
      <c r="A745" s="182"/>
      <c r="B745" s="175"/>
      <c r="C745" s="176"/>
      <c r="D745" s="176"/>
      <c r="E745" s="176"/>
      <c r="F745" s="123"/>
      <c r="G745" s="123"/>
      <c r="H745" s="123"/>
      <c r="I745" s="123"/>
      <c r="J745" s="174"/>
      <c r="K745" s="182"/>
      <c r="L745" s="123"/>
      <c r="M745" s="123"/>
      <c r="N745" s="123"/>
      <c r="O745" s="123"/>
      <c r="P745" s="123"/>
      <c r="Q745" s="123"/>
      <c r="R745" s="123"/>
      <c r="S745" s="123"/>
      <c r="T745" s="123"/>
      <c r="U745" s="123"/>
      <c r="V745" s="123"/>
      <c r="W745" s="123"/>
      <c r="X745" s="123"/>
      <c r="Y745" s="123"/>
    </row>
    <row r="746" spans="1:25" ht="15.75" customHeight="1" x14ac:dyDescent="0.2">
      <c r="A746" s="182"/>
      <c r="B746" s="175"/>
      <c r="C746" s="176"/>
      <c r="D746" s="176"/>
      <c r="E746" s="176"/>
      <c r="F746" s="123"/>
      <c r="G746" s="123"/>
      <c r="H746" s="123"/>
      <c r="I746" s="123"/>
      <c r="J746" s="174"/>
      <c r="K746" s="182"/>
      <c r="L746" s="123"/>
      <c r="M746" s="123"/>
      <c r="N746" s="123"/>
      <c r="O746" s="123"/>
      <c r="P746" s="123"/>
      <c r="Q746" s="123"/>
      <c r="R746" s="123"/>
      <c r="S746" s="123"/>
      <c r="T746" s="123"/>
      <c r="U746" s="123"/>
      <c r="V746" s="123"/>
      <c r="W746" s="123"/>
      <c r="X746" s="123"/>
      <c r="Y746" s="123"/>
    </row>
    <row r="747" spans="1:25" ht="15.75" customHeight="1" x14ac:dyDescent="0.2">
      <c r="A747" s="182"/>
      <c r="B747" s="175"/>
      <c r="C747" s="176"/>
      <c r="D747" s="176"/>
      <c r="E747" s="176"/>
      <c r="F747" s="123"/>
      <c r="G747" s="123"/>
      <c r="H747" s="123"/>
      <c r="I747" s="123"/>
      <c r="J747" s="174"/>
      <c r="K747" s="182"/>
      <c r="L747" s="123"/>
      <c r="M747" s="123"/>
      <c r="N747" s="123"/>
      <c r="O747" s="123"/>
      <c r="P747" s="123"/>
      <c r="Q747" s="123"/>
      <c r="R747" s="123"/>
      <c r="S747" s="123"/>
      <c r="T747" s="123"/>
      <c r="U747" s="123"/>
      <c r="V747" s="123"/>
      <c r="W747" s="123"/>
      <c r="X747" s="123"/>
      <c r="Y747" s="123"/>
    </row>
    <row r="748" spans="1:25" ht="15.75" customHeight="1" x14ac:dyDescent="0.2">
      <c r="A748" s="182"/>
      <c r="B748" s="175"/>
      <c r="C748" s="176"/>
      <c r="D748" s="176"/>
      <c r="E748" s="176"/>
      <c r="F748" s="123"/>
      <c r="G748" s="123"/>
      <c r="H748" s="123"/>
      <c r="I748" s="123"/>
      <c r="J748" s="174"/>
      <c r="K748" s="182"/>
      <c r="L748" s="123"/>
      <c r="M748" s="123"/>
      <c r="N748" s="123"/>
      <c r="O748" s="123"/>
      <c r="P748" s="123"/>
      <c r="Q748" s="123"/>
      <c r="R748" s="123"/>
      <c r="S748" s="123"/>
      <c r="T748" s="123"/>
      <c r="U748" s="123"/>
      <c r="V748" s="123"/>
      <c r="W748" s="123"/>
      <c r="X748" s="123"/>
      <c r="Y748" s="123"/>
    </row>
    <row r="749" spans="1:25" ht="15.75" customHeight="1" x14ac:dyDescent="0.2">
      <c r="A749" s="182"/>
      <c r="B749" s="175"/>
      <c r="C749" s="176"/>
      <c r="D749" s="176"/>
      <c r="E749" s="176"/>
      <c r="F749" s="123"/>
      <c r="G749" s="123"/>
      <c r="H749" s="123"/>
      <c r="I749" s="123"/>
      <c r="J749" s="174"/>
      <c r="K749" s="182"/>
      <c r="L749" s="123"/>
      <c r="M749" s="123"/>
      <c r="N749" s="123"/>
      <c r="O749" s="123"/>
      <c r="P749" s="123"/>
      <c r="Q749" s="123"/>
      <c r="R749" s="123"/>
      <c r="S749" s="123"/>
      <c r="T749" s="123"/>
      <c r="U749" s="123"/>
      <c r="V749" s="123"/>
      <c r="W749" s="123"/>
      <c r="X749" s="123"/>
      <c r="Y749" s="123"/>
    </row>
    <row r="750" spans="1:25" ht="15.75" customHeight="1" x14ac:dyDescent="0.2">
      <c r="A750" s="182"/>
      <c r="B750" s="175"/>
      <c r="C750" s="176"/>
      <c r="D750" s="176"/>
      <c r="E750" s="176"/>
      <c r="F750" s="123"/>
      <c r="G750" s="123"/>
      <c r="H750" s="123"/>
      <c r="I750" s="123"/>
      <c r="J750" s="174"/>
      <c r="K750" s="182"/>
      <c r="L750" s="123"/>
      <c r="M750" s="123"/>
      <c r="N750" s="123"/>
      <c r="O750" s="123"/>
      <c r="P750" s="123"/>
      <c r="Q750" s="123"/>
      <c r="R750" s="123"/>
      <c r="S750" s="123"/>
      <c r="T750" s="123"/>
      <c r="U750" s="123"/>
      <c r="V750" s="123"/>
      <c r="W750" s="123"/>
      <c r="X750" s="123"/>
      <c r="Y750" s="123"/>
    </row>
    <row r="751" spans="1:25" ht="15.75" customHeight="1" x14ac:dyDescent="0.2">
      <c r="A751" s="182"/>
      <c r="B751" s="175"/>
      <c r="C751" s="176"/>
      <c r="D751" s="176"/>
      <c r="E751" s="176"/>
      <c r="F751" s="123"/>
      <c r="G751" s="123"/>
      <c r="H751" s="123"/>
      <c r="I751" s="123"/>
      <c r="J751" s="174"/>
      <c r="K751" s="182"/>
      <c r="L751" s="123"/>
      <c r="M751" s="123"/>
      <c r="N751" s="123"/>
      <c r="O751" s="123"/>
      <c r="P751" s="123"/>
      <c r="Q751" s="123"/>
      <c r="R751" s="123"/>
      <c r="S751" s="123"/>
      <c r="T751" s="123"/>
      <c r="U751" s="123"/>
      <c r="V751" s="123"/>
      <c r="W751" s="123"/>
      <c r="X751" s="123"/>
      <c r="Y751" s="123"/>
    </row>
    <row r="752" spans="1:25" ht="15.75" customHeight="1" x14ac:dyDescent="0.2">
      <c r="A752" s="182"/>
      <c r="B752" s="175"/>
      <c r="C752" s="176"/>
      <c r="D752" s="176"/>
      <c r="E752" s="176"/>
      <c r="F752" s="123"/>
      <c r="G752" s="123"/>
      <c r="H752" s="123"/>
      <c r="I752" s="123"/>
      <c r="J752" s="174"/>
      <c r="K752" s="182"/>
      <c r="L752" s="123"/>
      <c r="M752" s="123"/>
      <c r="N752" s="123"/>
      <c r="O752" s="123"/>
      <c r="P752" s="123"/>
      <c r="Q752" s="123"/>
      <c r="R752" s="123"/>
      <c r="S752" s="123"/>
      <c r="T752" s="123"/>
      <c r="U752" s="123"/>
      <c r="V752" s="123"/>
      <c r="W752" s="123"/>
      <c r="X752" s="123"/>
      <c r="Y752" s="123"/>
    </row>
    <row r="753" spans="1:25" ht="15.75" customHeight="1" x14ac:dyDescent="0.2">
      <c r="A753" s="182"/>
      <c r="B753" s="175"/>
      <c r="C753" s="176"/>
      <c r="D753" s="176"/>
      <c r="E753" s="176"/>
      <c r="F753" s="123"/>
      <c r="G753" s="123"/>
      <c r="H753" s="123"/>
      <c r="I753" s="123"/>
      <c r="J753" s="174"/>
      <c r="K753" s="182"/>
      <c r="L753" s="123"/>
      <c r="M753" s="123"/>
      <c r="N753" s="123"/>
      <c r="O753" s="123"/>
      <c r="P753" s="123"/>
      <c r="Q753" s="123"/>
      <c r="R753" s="123"/>
      <c r="S753" s="123"/>
      <c r="T753" s="123"/>
      <c r="U753" s="123"/>
      <c r="V753" s="123"/>
      <c r="W753" s="123"/>
      <c r="X753" s="123"/>
      <c r="Y753" s="123"/>
    </row>
    <row r="754" spans="1:25" ht="15.75" customHeight="1" x14ac:dyDescent="0.2">
      <c r="A754" s="182"/>
      <c r="B754" s="175"/>
      <c r="C754" s="176"/>
      <c r="D754" s="176"/>
      <c r="E754" s="176"/>
      <c r="F754" s="123"/>
      <c r="G754" s="123"/>
      <c r="H754" s="123"/>
      <c r="I754" s="123"/>
      <c r="J754" s="174"/>
      <c r="K754" s="182"/>
      <c r="L754" s="123"/>
      <c r="M754" s="123"/>
      <c r="N754" s="123"/>
      <c r="O754" s="123"/>
      <c r="P754" s="123"/>
      <c r="Q754" s="123"/>
      <c r="R754" s="123"/>
      <c r="S754" s="123"/>
      <c r="T754" s="123"/>
      <c r="U754" s="123"/>
      <c r="V754" s="123"/>
      <c r="W754" s="123"/>
      <c r="X754" s="123"/>
      <c r="Y754" s="123"/>
    </row>
    <row r="755" spans="1:25" ht="15.75" customHeight="1" x14ac:dyDescent="0.2">
      <c r="A755" s="182"/>
      <c r="B755" s="175"/>
      <c r="C755" s="176"/>
      <c r="D755" s="176"/>
      <c r="E755" s="176"/>
      <c r="F755" s="123"/>
      <c r="G755" s="123"/>
      <c r="H755" s="123"/>
      <c r="I755" s="123"/>
      <c r="J755" s="174"/>
      <c r="K755" s="182"/>
      <c r="L755" s="123"/>
      <c r="M755" s="123"/>
      <c r="N755" s="123"/>
      <c r="O755" s="123"/>
      <c r="P755" s="123"/>
      <c r="Q755" s="123"/>
      <c r="R755" s="123"/>
      <c r="S755" s="123"/>
      <c r="T755" s="123"/>
      <c r="U755" s="123"/>
      <c r="V755" s="123"/>
      <c r="W755" s="123"/>
      <c r="X755" s="123"/>
      <c r="Y755" s="123"/>
    </row>
    <row r="756" spans="1:25" ht="15.75" customHeight="1" x14ac:dyDescent="0.2">
      <c r="A756" s="182"/>
      <c r="B756" s="175"/>
      <c r="C756" s="176"/>
      <c r="D756" s="176"/>
      <c r="E756" s="176"/>
      <c r="F756" s="123"/>
      <c r="G756" s="123"/>
      <c r="H756" s="123"/>
      <c r="I756" s="123"/>
      <c r="J756" s="174"/>
      <c r="K756" s="182"/>
      <c r="L756" s="123"/>
      <c r="M756" s="123"/>
      <c r="N756" s="123"/>
      <c r="O756" s="123"/>
      <c r="P756" s="123"/>
      <c r="Q756" s="123"/>
      <c r="R756" s="123"/>
      <c r="S756" s="123"/>
      <c r="T756" s="123"/>
      <c r="U756" s="123"/>
      <c r="V756" s="123"/>
      <c r="W756" s="123"/>
      <c r="X756" s="123"/>
      <c r="Y756" s="123"/>
    </row>
    <row r="757" spans="1:25" ht="15.75" customHeight="1" x14ac:dyDescent="0.2">
      <c r="A757" s="182"/>
      <c r="B757" s="175"/>
      <c r="C757" s="176"/>
      <c r="D757" s="176"/>
      <c r="E757" s="176"/>
      <c r="F757" s="123"/>
      <c r="G757" s="123"/>
      <c r="H757" s="123"/>
      <c r="I757" s="123"/>
      <c r="J757" s="174"/>
      <c r="K757" s="182"/>
      <c r="L757" s="123"/>
      <c r="M757" s="123"/>
      <c r="N757" s="123"/>
      <c r="O757" s="123"/>
      <c r="P757" s="123"/>
      <c r="Q757" s="123"/>
      <c r="R757" s="123"/>
      <c r="S757" s="123"/>
      <c r="T757" s="123"/>
      <c r="U757" s="123"/>
      <c r="V757" s="123"/>
      <c r="W757" s="123"/>
      <c r="X757" s="123"/>
      <c r="Y757" s="123"/>
    </row>
    <row r="758" spans="1:25" ht="15.75" customHeight="1" x14ac:dyDescent="0.2">
      <c r="A758" s="182"/>
      <c r="B758" s="175"/>
      <c r="C758" s="176"/>
      <c r="D758" s="176"/>
      <c r="E758" s="176"/>
      <c r="F758" s="123"/>
      <c r="G758" s="123"/>
      <c r="H758" s="123"/>
      <c r="I758" s="123"/>
      <c r="J758" s="174"/>
      <c r="K758" s="182"/>
      <c r="L758" s="123"/>
      <c r="M758" s="123"/>
      <c r="N758" s="123"/>
      <c r="O758" s="123"/>
      <c r="P758" s="123"/>
      <c r="Q758" s="123"/>
      <c r="R758" s="123"/>
      <c r="S758" s="123"/>
      <c r="T758" s="123"/>
      <c r="U758" s="123"/>
      <c r="V758" s="123"/>
      <c r="W758" s="123"/>
      <c r="X758" s="123"/>
      <c r="Y758" s="123"/>
    </row>
    <row r="759" spans="1:25" ht="15.75" customHeight="1" x14ac:dyDescent="0.2">
      <c r="A759" s="182"/>
      <c r="B759" s="175"/>
      <c r="C759" s="176"/>
      <c r="D759" s="176"/>
      <c r="E759" s="176"/>
      <c r="F759" s="123"/>
      <c r="G759" s="123"/>
      <c r="H759" s="123"/>
      <c r="I759" s="123"/>
      <c r="J759" s="174"/>
      <c r="K759" s="182"/>
      <c r="L759" s="123"/>
      <c r="M759" s="123"/>
      <c r="N759" s="123"/>
      <c r="O759" s="123"/>
      <c r="P759" s="123"/>
      <c r="Q759" s="123"/>
      <c r="R759" s="123"/>
      <c r="S759" s="123"/>
      <c r="T759" s="123"/>
      <c r="U759" s="123"/>
      <c r="V759" s="123"/>
      <c r="W759" s="123"/>
      <c r="X759" s="123"/>
      <c r="Y759" s="123"/>
    </row>
    <row r="760" spans="1:25" ht="15.75" customHeight="1" x14ac:dyDescent="0.2">
      <c r="A760" s="182"/>
      <c r="B760" s="175"/>
      <c r="C760" s="176"/>
      <c r="D760" s="176"/>
      <c r="E760" s="176"/>
      <c r="F760" s="123"/>
      <c r="G760" s="123"/>
      <c r="H760" s="123"/>
      <c r="I760" s="123"/>
      <c r="J760" s="174"/>
      <c r="K760" s="182"/>
      <c r="L760" s="123"/>
      <c r="M760" s="123"/>
      <c r="N760" s="123"/>
      <c r="O760" s="123"/>
      <c r="P760" s="123"/>
      <c r="Q760" s="123"/>
      <c r="R760" s="123"/>
      <c r="S760" s="123"/>
      <c r="T760" s="123"/>
      <c r="U760" s="123"/>
      <c r="V760" s="123"/>
      <c r="W760" s="123"/>
      <c r="X760" s="123"/>
      <c r="Y760" s="123"/>
    </row>
    <row r="761" spans="1:25" ht="15.75" customHeight="1" x14ac:dyDescent="0.2">
      <c r="A761" s="182"/>
      <c r="B761" s="175"/>
      <c r="C761" s="176"/>
      <c r="D761" s="176"/>
      <c r="E761" s="176"/>
      <c r="F761" s="123"/>
      <c r="G761" s="123"/>
      <c r="H761" s="123"/>
      <c r="I761" s="123"/>
      <c r="J761" s="174"/>
      <c r="K761" s="182"/>
      <c r="L761" s="123"/>
      <c r="M761" s="123"/>
      <c r="N761" s="123"/>
      <c r="O761" s="123"/>
      <c r="P761" s="123"/>
      <c r="Q761" s="123"/>
      <c r="R761" s="123"/>
      <c r="S761" s="123"/>
      <c r="T761" s="123"/>
      <c r="U761" s="123"/>
      <c r="V761" s="123"/>
      <c r="W761" s="123"/>
      <c r="X761" s="123"/>
      <c r="Y761" s="123"/>
    </row>
    <row r="762" spans="1:25" ht="15.75" customHeight="1" x14ac:dyDescent="0.2">
      <c r="A762" s="182"/>
      <c r="B762" s="175"/>
      <c r="C762" s="176"/>
      <c r="D762" s="176"/>
      <c r="E762" s="176"/>
      <c r="F762" s="123"/>
      <c r="G762" s="123"/>
      <c r="H762" s="123"/>
      <c r="I762" s="123"/>
      <c r="J762" s="174"/>
      <c r="K762" s="182"/>
      <c r="L762" s="123"/>
      <c r="M762" s="123"/>
      <c r="N762" s="123"/>
      <c r="O762" s="123"/>
      <c r="P762" s="123"/>
      <c r="Q762" s="123"/>
      <c r="R762" s="123"/>
      <c r="S762" s="123"/>
      <c r="T762" s="123"/>
      <c r="U762" s="123"/>
      <c r="V762" s="123"/>
      <c r="W762" s="123"/>
      <c r="X762" s="123"/>
      <c r="Y762" s="123"/>
    </row>
    <row r="763" spans="1:25" ht="15.75" customHeight="1" x14ac:dyDescent="0.2">
      <c r="A763" s="182"/>
      <c r="B763" s="175"/>
      <c r="C763" s="176"/>
      <c r="D763" s="176"/>
      <c r="E763" s="176"/>
      <c r="F763" s="123"/>
      <c r="G763" s="123"/>
      <c r="H763" s="123"/>
      <c r="I763" s="123"/>
      <c r="J763" s="174"/>
      <c r="K763" s="182"/>
      <c r="L763" s="123"/>
      <c r="M763" s="123"/>
      <c r="N763" s="123"/>
      <c r="O763" s="123"/>
      <c r="P763" s="123"/>
      <c r="Q763" s="123"/>
      <c r="R763" s="123"/>
      <c r="S763" s="123"/>
      <c r="T763" s="123"/>
      <c r="U763" s="123"/>
      <c r="V763" s="123"/>
      <c r="W763" s="123"/>
      <c r="X763" s="123"/>
      <c r="Y763" s="123"/>
    </row>
    <row r="764" spans="1:25" ht="15.75" customHeight="1" x14ac:dyDescent="0.2">
      <c r="A764" s="182"/>
      <c r="B764" s="175"/>
      <c r="C764" s="176"/>
      <c r="D764" s="176"/>
      <c r="E764" s="176"/>
      <c r="F764" s="123"/>
      <c r="G764" s="123"/>
      <c r="H764" s="123"/>
      <c r="I764" s="123"/>
      <c r="J764" s="174"/>
      <c r="K764" s="182"/>
      <c r="L764" s="123"/>
      <c r="M764" s="123"/>
      <c r="N764" s="123"/>
      <c r="O764" s="123"/>
      <c r="P764" s="123"/>
      <c r="Q764" s="123"/>
      <c r="R764" s="123"/>
      <c r="S764" s="123"/>
      <c r="T764" s="123"/>
      <c r="U764" s="123"/>
      <c r="V764" s="123"/>
      <c r="W764" s="123"/>
      <c r="X764" s="123"/>
      <c r="Y764" s="123"/>
    </row>
    <row r="765" spans="1:25" ht="15.75" customHeight="1" x14ac:dyDescent="0.2">
      <c r="A765" s="182"/>
      <c r="B765" s="175"/>
      <c r="C765" s="176"/>
      <c r="D765" s="176"/>
      <c r="E765" s="176"/>
      <c r="F765" s="123"/>
      <c r="G765" s="123"/>
      <c r="H765" s="123"/>
      <c r="I765" s="123"/>
      <c r="J765" s="174"/>
      <c r="K765" s="182"/>
      <c r="L765" s="123"/>
      <c r="M765" s="123"/>
      <c r="N765" s="123"/>
      <c r="O765" s="123"/>
      <c r="P765" s="123"/>
      <c r="Q765" s="123"/>
      <c r="R765" s="123"/>
      <c r="S765" s="123"/>
      <c r="T765" s="123"/>
      <c r="U765" s="123"/>
      <c r="V765" s="123"/>
      <c r="W765" s="123"/>
      <c r="X765" s="123"/>
      <c r="Y765" s="123"/>
    </row>
    <row r="766" spans="1:25" ht="15.75" customHeight="1" x14ac:dyDescent="0.2">
      <c r="A766" s="182"/>
      <c r="B766" s="175"/>
      <c r="C766" s="176"/>
      <c r="D766" s="176"/>
      <c r="E766" s="176"/>
      <c r="F766" s="123"/>
      <c r="G766" s="123"/>
      <c r="H766" s="123"/>
      <c r="I766" s="123"/>
      <c r="J766" s="174"/>
      <c r="K766" s="182"/>
      <c r="L766" s="123"/>
      <c r="M766" s="123"/>
      <c r="N766" s="123"/>
      <c r="O766" s="123"/>
      <c r="P766" s="123"/>
      <c r="Q766" s="123"/>
      <c r="R766" s="123"/>
      <c r="S766" s="123"/>
      <c r="T766" s="123"/>
      <c r="U766" s="123"/>
      <c r="V766" s="123"/>
      <c r="W766" s="123"/>
      <c r="X766" s="123"/>
      <c r="Y766" s="123"/>
    </row>
    <row r="767" spans="1:25" ht="15.75" customHeight="1" x14ac:dyDescent="0.2">
      <c r="A767" s="182"/>
      <c r="B767" s="175"/>
      <c r="C767" s="176"/>
      <c r="D767" s="176"/>
      <c r="E767" s="176"/>
      <c r="F767" s="123"/>
      <c r="G767" s="123"/>
      <c r="H767" s="123"/>
      <c r="I767" s="123"/>
      <c r="J767" s="174"/>
      <c r="K767" s="182"/>
      <c r="L767" s="123"/>
      <c r="M767" s="123"/>
      <c r="N767" s="123"/>
      <c r="O767" s="123"/>
      <c r="P767" s="123"/>
      <c r="Q767" s="123"/>
      <c r="R767" s="123"/>
      <c r="S767" s="123"/>
      <c r="T767" s="123"/>
      <c r="U767" s="123"/>
      <c r="V767" s="123"/>
      <c r="W767" s="123"/>
      <c r="X767" s="123"/>
      <c r="Y767" s="123"/>
    </row>
    <row r="768" spans="1:25" ht="15.75" customHeight="1" x14ac:dyDescent="0.2">
      <c r="A768" s="182"/>
      <c r="B768" s="175"/>
      <c r="C768" s="176"/>
      <c r="D768" s="176"/>
      <c r="E768" s="176"/>
      <c r="F768" s="123"/>
      <c r="G768" s="123"/>
      <c r="H768" s="123"/>
      <c r="I768" s="123"/>
      <c r="J768" s="174"/>
      <c r="K768" s="182"/>
      <c r="L768" s="123"/>
      <c r="M768" s="123"/>
      <c r="N768" s="123"/>
      <c r="O768" s="123"/>
      <c r="P768" s="123"/>
      <c r="Q768" s="123"/>
      <c r="R768" s="123"/>
      <c r="S768" s="123"/>
      <c r="T768" s="123"/>
      <c r="U768" s="123"/>
      <c r="V768" s="123"/>
      <c r="W768" s="123"/>
      <c r="X768" s="123"/>
      <c r="Y768" s="123"/>
    </row>
    <row r="769" spans="1:25" ht="15.75" customHeight="1" x14ac:dyDescent="0.2">
      <c r="A769" s="182"/>
      <c r="B769" s="175"/>
      <c r="C769" s="176"/>
      <c r="D769" s="176"/>
      <c r="E769" s="176"/>
      <c r="F769" s="123"/>
      <c r="G769" s="123"/>
      <c r="H769" s="123"/>
      <c r="I769" s="123"/>
      <c r="J769" s="174"/>
      <c r="K769" s="182"/>
      <c r="L769" s="123"/>
      <c r="M769" s="123"/>
      <c r="N769" s="123"/>
      <c r="O769" s="123"/>
      <c r="P769" s="123"/>
      <c r="Q769" s="123"/>
      <c r="R769" s="123"/>
      <c r="S769" s="123"/>
      <c r="T769" s="123"/>
      <c r="U769" s="123"/>
      <c r="V769" s="123"/>
      <c r="W769" s="123"/>
      <c r="X769" s="123"/>
      <c r="Y769" s="123"/>
    </row>
    <row r="770" spans="1:25" ht="15.75" customHeight="1" x14ac:dyDescent="0.2">
      <c r="A770" s="182"/>
      <c r="B770" s="175"/>
      <c r="C770" s="176"/>
      <c r="D770" s="176"/>
      <c r="E770" s="176"/>
      <c r="F770" s="123"/>
      <c r="G770" s="123"/>
      <c r="H770" s="123"/>
      <c r="I770" s="123"/>
      <c r="J770" s="174"/>
      <c r="K770" s="182"/>
      <c r="L770" s="123"/>
      <c r="M770" s="123"/>
      <c r="N770" s="123"/>
      <c r="O770" s="123"/>
      <c r="P770" s="123"/>
      <c r="Q770" s="123"/>
      <c r="R770" s="123"/>
      <c r="S770" s="123"/>
      <c r="T770" s="123"/>
      <c r="U770" s="123"/>
      <c r="V770" s="123"/>
      <c r="W770" s="123"/>
      <c r="X770" s="123"/>
      <c r="Y770" s="123"/>
    </row>
    <row r="771" spans="1:25" ht="15.75" customHeight="1" x14ac:dyDescent="0.2">
      <c r="A771" s="182"/>
      <c r="B771" s="175"/>
      <c r="C771" s="176"/>
      <c r="D771" s="176"/>
      <c r="E771" s="176"/>
      <c r="F771" s="123"/>
      <c r="G771" s="123"/>
      <c r="H771" s="123"/>
      <c r="I771" s="123"/>
      <c r="J771" s="174"/>
      <c r="K771" s="182"/>
      <c r="L771" s="123"/>
      <c r="M771" s="123"/>
      <c r="N771" s="123"/>
      <c r="O771" s="123"/>
      <c r="P771" s="123"/>
      <c r="Q771" s="123"/>
      <c r="R771" s="123"/>
      <c r="S771" s="123"/>
      <c r="T771" s="123"/>
      <c r="U771" s="123"/>
      <c r="V771" s="123"/>
      <c r="W771" s="123"/>
      <c r="X771" s="123"/>
      <c r="Y771" s="123"/>
    </row>
    <row r="772" spans="1:25" ht="15.75" customHeight="1" x14ac:dyDescent="0.2">
      <c r="A772" s="182"/>
      <c r="B772" s="175"/>
      <c r="C772" s="176"/>
      <c r="D772" s="176"/>
      <c r="E772" s="176"/>
      <c r="F772" s="123"/>
      <c r="G772" s="123"/>
      <c r="H772" s="123"/>
      <c r="I772" s="123"/>
      <c r="J772" s="174"/>
      <c r="K772" s="182"/>
      <c r="L772" s="123"/>
      <c r="M772" s="123"/>
      <c r="N772" s="123"/>
      <c r="O772" s="123"/>
      <c r="P772" s="123"/>
      <c r="Q772" s="123"/>
      <c r="R772" s="123"/>
      <c r="S772" s="123"/>
      <c r="T772" s="123"/>
      <c r="U772" s="123"/>
      <c r="V772" s="123"/>
      <c r="W772" s="123"/>
      <c r="X772" s="123"/>
      <c r="Y772" s="123"/>
    </row>
    <row r="773" spans="1:25" ht="15.75" customHeight="1" x14ac:dyDescent="0.2">
      <c r="A773" s="182"/>
      <c r="B773" s="175"/>
      <c r="C773" s="176"/>
      <c r="D773" s="176"/>
      <c r="E773" s="176"/>
      <c r="F773" s="123"/>
      <c r="G773" s="123"/>
      <c r="H773" s="123"/>
      <c r="I773" s="123"/>
      <c r="J773" s="174"/>
      <c r="K773" s="182"/>
      <c r="L773" s="123"/>
      <c r="M773" s="123"/>
      <c r="N773" s="123"/>
      <c r="O773" s="123"/>
      <c r="P773" s="123"/>
      <c r="Q773" s="123"/>
      <c r="R773" s="123"/>
      <c r="S773" s="123"/>
      <c r="T773" s="123"/>
      <c r="U773" s="123"/>
      <c r="V773" s="123"/>
      <c r="W773" s="123"/>
      <c r="X773" s="123"/>
      <c r="Y773" s="123"/>
    </row>
    <row r="774" spans="1:25" ht="15.75" customHeight="1" x14ac:dyDescent="0.2">
      <c r="A774" s="182"/>
      <c r="B774" s="175"/>
      <c r="C774" s="176"/>
      <c r="D774" s="176"/>
      <c r="E774" s="176"/>
      <c r="F774" s="123"/>
      <c r="G774" s="123"/>
      <c r="H774" s="123"/>
      <c r="I774" s="123"/>
      <c r="J774" s="174"/>
      <c r="K774" s="182"/>
      <c r="L774" s="123"/>
      <c r="M774" s="123"/>
      <c r="N774" s="123"/>
      <c r="O774" s="123"/>
      <c r="P774" s="123"/>
      <c r="Q774" s="123"/>
      <c r="R774" s="123"/>
      <c r="S774" s="123"/>
      <c r="T774" s="123"/>
      <c r="U774" s="123"/>
      <c r="V774" s="123"/>
      <c r="W774" s="123"/>
      <c r="X774" s="123"/>
      <c r="Y774" s="123"/>
    </row>
    <row r="775" spans="1:25" ht="15.75" customHeight="1" x14ac:dyDescent="0.2">
      <c r="A775" s="182"/>
      <c r="B775" s="175"/>
      <c r="C775" s="176"/>
      <c r="D775" s="176"/>
      <c r="E775" s="176"/>
      <c r="F775" s="123"/>
      <c r="G775" s="123"/>
      <c r="H775" s="123"/>
      <c r="I775" s="123"/>
      <c r="J775" s="174"/>
      <c r="K775" s="182"/>
      <c r="L775" s="123"/>
      <c r="M775" s="123"/>
      <c r="N775" s="123"/>
      <c r="O775" s="123"/>
      <c r="P775" s="123"/>
      <c r="Q775" s="123"/>
      <c r="R775" s="123"/>
      <c r="S775" s="123"/>
      <c r="T775" s="123"/>
      <c r="U775" s="123"/>
      <c r="V775" s="123"/>
      <c r="W775" s="123"/>
      <c r="X775" s="123"/>
      <c r="Y775" s="123"/>
    </row>
    <row r="776" spans="1:25" ht="15.75" customHeight="1" x14ac:dyDescent="0.2">
      <c r="A776" s="182"/>
      <c r="B776" s="175"/>
      <c r="C776" s="176"/>
      <c r="D776" s="176"/>
      <c r="E776" s="176"/>
      <c r="F776" s="123"/>
      <c r="G776" s="123"/>
      <c r="H776" s="123"/>
      <c r="I776" s="123"/>
      <c r="J776" s="174"/>
      <c r="K776" s="182"/>
      <c r="L776" s="123"/>
      <c r="M776" s="123"/>
      <c r="N776" s="123"/>
      <c r="O776" s="123"/>
      <c r="P776" s="123"/>
      <c r="Q776" s="123"/>
      <c r="R776" s="123"/>
      <c r="S776" s="123"/>
      <c r="T776" s="123"/>
      <c r="U776" s="123"/>
      <c r="V776" s="123"/>
      <c r="W776" s="123"/>
      <c r="X776" s="123"/>
      <c r="Y776" s="123"/>
    </row>
    <row r="777" spans="1:25" ht="15.75" customHeight="1" x14ac:dyDescent="0.2">
      <c r="A777" s="182"/>
      <c r="B777" s="175"/>
      <c r="C777" s="176"/>
      <c r="D777" s="176"/>
      <c r="E777" s="176"/>
      <c r="F777" s="123"/>
      <c r="G777" s="123"/>
      <c r="H777" s="123"/>
      <c r="I777" s="123"/>
      <c r="J777" s="174"/>
      <c r="K777" s="182"/>
      <c r="L777" s="123"/>
      <c r="M777" s="123"/>
      <c r="N777" s="123"/>
      <c r="O777" s="123"/>
      <c r="P777" s="123"/>
      <c r="Q777" s="123"/>
      <c r="R777" s="123"/>
      <c r="S777" s="123"/>
      <c r="T777" s="123"/>
      <c r="U777" s="123"/>
      <c r="V777" s="123"/>
      <c r="W777" s="123"/>
      <c r="X777" s="123"/>
      <c r="Y777" s="123"/>
    </row>
    <row r="778" spans="1:25" ht="15.75" customHeight="1" x14ac:dyDescent="0.2">
      <c r="A778" s="182"/>
      <c r="B778" s="175"/>
      <c r="C778" s="176"/>
      <c r="D778" s="176"/>
      <c r="E778" s="176"/>
      <c r="F778" s="123"/>
      <c r="G778" s="123"/>
      <c r="H778" s="123"/>
      <c r="I778" s="123"/>
      <c r="J778" s="174"/>
      <c r="K778" s="182"/>
      <c r="L778" s="123"/>
      <c r="M778" s="123"/>
      <c r="N778" s="123"/>
      <c r="O778" s="123"/>
      <c r="P778" s="123"/>
      <c r="Q778" s="123"/>
      <c r="R778" s="123"/>
      <c r="S778" s="123"/>
      <c r="T778" s="123"/>
      <c r="U778" s="123"/>
      <c r="V778" s="123"/>
      <c r="W778" s="123"/>
      <c r="X778" s="123"/>
      <c r="Y778" s="123"/>
    </row>
    <row r="779" spans="1:25" ht="15.75" customHeight="1" x14ac:dyDescent="0.2">
      <c r="A779" s="182"/>
      <c r="B779" s="175"/>
      <c r="C779" s="176"/>
      <c r="D779" s="176"/>
      <c r="E779" s="176"/>
      <c r="F779" s="123"/>
      <c r="G779" s="123"/>
      <c r="H779" s="123"/>
      <c r="I779" s="123"/>
      <c r="J779" s="174"/>
      <c r="K779" s="182"/>
      <c r="L779" s="123"/>
      <c r="M779" s="123"/>
      <c r="N779" s="123"/>
      <c r="O779" s="123"/>
      <c r="P779" s="123"/>
      <c r="Q779" s="123"/>
      <c r="R779" s="123"/>
      <c r="S779" s="123"/>
      <c r="T779" s="123"/>
      <c r="U779" s="123"/>
      <c r="V779" s="123"/>
      <c r="W779" s="123"/>
      <c r="X779" s="123"/>
      <c r="Y779" s="123"/>
    </row>
    <row r="780" spans="1:25" ht="15.75" customHeight="1" x14ac:dyDescent="0.2">
      <c r="A780" s="182"/>
      <c r="B780" s="175"/>
      <c r="C780" s="176"/>
      <c r="D780" s="176"/>
      <c r="E780" s="176"/>
      <c r="F780" s="123"/>
      <c r="G780" s="123"/>
      <c r="H780" s="123"/>
      <c r="I780" s="123"/>
      <c r="J780" s="174"/>
      <c r="K780" s="182"/>
      <c r="L780" s="123"/>
      <c r="M780" s="123"/>
      <c r="N780" s="123"/>
      <c r="O780" s="123"/>
      <c r="P780" s="123"/>
      <c r="Q780" s="123"/>
      <c r="R780" s="123"/>
      <c r="S780" s="123"/>
      <c r="T780" s="123"/>
      <c r="U780" s="123"/>
      <c r="V780" s="123"/>
      <c r="W780" s="123"/>
      <c r="X780" s="123"/>
      <c r="Y780" s="123"/>
    </row>
    <row r="781" spans="1:25" ht="15.75" customHeight="1" x14ac:dyDescent="0.2">
      <c r="A781" s="182"/>
      <c r="B781" s="175"/>
      <c r="C781" s="176"/>
      <c r="D781" s="176"/>
      <c r="E781" s="176"/>
      <c r="F781" s="123"/>
      <c r="G781" s="123"/>
      <c r="H781" s="123"/>
      <c r="I781" s="123"/>
      <c r="J781" s="174"/>
      <c r="K781" s="182"/>
      <c r="L781" s="123"/>
      <c r="M781" s="123"/>
      <c r="N781" s="123"/>
      <c r="O781" s="123"/>
      <c r="P781" s="123"/>
      <c r="Q781" s="123"/>
      <c r="R781" s="123"/>
      <c r="S781" s="123"/>
      <c r="T781" s="123"/>
      <c r="U781" s="123"/>
      <c r="V781" s="123"/>
      <c r="W781" s="123"/>
      <c r="X781" s="123"/>
      <c r="Y781" s="123"/>
    </row>
    <row r="782" spans="1:25" ht="15.75" customHeight="1" x14ac:dyDescent="0.2">
      <c r="A782" s="182"/>
      <c r="B782" s="175"/>
      <c r="C782" s="176"/>
      <c r="D782" s="176"/>
      <c r="E782" s="176"/>
      <c r="F782" s="123"/>
      <c r="G782" s="123"/>
      <c r="H782" s="123"/>
      <c r="I782" s="123"/>
      <c r="J782" s="174"/>
      <c r="K782" s="182"/>
      <c r="L782" s="123"/>
      <c r="M782" s="123"/>
      <c r="N782" s="123"/>
      <c r="O782" s="123"/>
      <c r="P782" s="123"/>
      <c r="Q782" s="123"/>
      <c r="R782" s="123"/>
      <c r="S782" s="123"/>
      <c r="T782" s="123"/>
      <c r="U782" s="123"/>
      <c r="V782" s="123"/>
      <c r="W782" s="123"/>
      <c r="X782" s="123"/>
      <c r="Y782" s="123"/>
    </row>
    <row r="783" spans="1:25" ht="15.75" customHeight="1" x14ac:dyDescent="0.2">
      <c r="A783" s="182"/>
      <c r="B783" s="175"/>
      <c r="C783" s="176"/>
      <c r="D783" s="176"/>
      <c r="E783" s="176"/>
      <c r="F783" s="123"/>
      <c r="G783" s="123"/>
      <c r="H783" s="123"/>
      <c r="I783" s="123"/>
      <c r="J783" s="174"/>
      <c r="K783" s="182"/>
      <c r="L783" s="123"/>
      <c r="M783" s="123"/>
      <c r="N783" s="123"/>
      <c r="O783" s="123"/>
      <c r="P783" s="123"/>
      <c r="Q783" s="123"/>
      <c r="R783" s="123"/>
      <c r="S783" s="123"/>
      <c r="T783" s="123"/>
      <c r="U783" s="123"/>
      <c r="V783" s="123"/>
      <c r="W783" s="123"/>
      <c r="X783" s="123"/>
      <c r="Y783" s="123"/>
    </row>
    <row r="784" spans="1:25" ht="15.75" customHeight="1" x14ac:dyDescent="0.2">
      <c r="A784" s="182"/>
      <c r="B784" s="175"/>
      <c r="C784" s="176"/>
      <c r="D784" s="176"/>
      <c r="E784" s="176"/>
      <c r="F784" s="123"/>
      <c r="G784" s="123"/>
      <c r="H784" s="123"/>
      <c r="I784" s="123"/>
      <c r="J784" s="174"/>
      <c r="K784" s="182"/>
      <c r="L784" s="123"/>
      <c r="M784" s="123"/>
      <c r="N784" s="123"/>
      <c r="O784" s="123"/>
      <c r="P784" s="123"/>
      <c r="Q784" s="123"/>
      <c r="R784" s="123"/>
      <c r="S784" s="123"/>
      <c r="T784" s="123"/>
      <c r="U784" s="123"/>
      <c r="V784" s="123"/>
      <c r="W784" s="123"/>
      <c r="X784" s="123"/>
      <c r="Y784" s="123"/>
    </row>
    <row r="785" spans="1:25" ht="15.75" customHeight="1" x14ac:dyDescent="0.2">
      <c r="A785" s="182"/>
      <c r="B785" s="175"/>
      <c r="C785" s="176"/>
      <c r="D785" s="176"/>
      <c r="E785" s="176"/>
      <c r="F785" s="123"/>
      <c r="G785" s="123"/>
      <c r="H785" s="123"/>
      <c r="I785" s="123"/>
      <c r="J785" s="174"/>
      <c r="K785" s="182"/>
      <c r="L785" s="123"/>
      <c r="M785" s="123"/>
      <c r="N785" s="123"/>
      <c r="O785" s="123"/>
      <c r="P785" s="123"/>
      <c r="Q785" s="123"/>
      <c r="R785" s="123"/>
      <c r="S785" s="123"/>
      <c r="T785" s="123"/>
      <c r="U785" s="123"/>
      <c r="V785" s="123"/>
      <c r="W785" s="123"/>
      <c r="X785" s="123"/>
      <c r="Y785" s="123"/>
    </row>
    <row r="786" spans="1:25" ht="15.75" customHeight="1" x14ac:dyDescent="0.2">
      <c r="A786" s="182"/>
      <c r="B786" s="175"/>
      <c r="C786" s="176"/>
      <c r="D786" s="176"/>
      <c r="E786" s="176"/>
      <c r="F786" s="123"/>
      <c r="G786" s="123"/>
      <c r="H786" s="123"/>
      <c r="I786" s="123"/>
      <c r="J786" s="174"/>
      <c r="K786" s="182"/>
      <c r="L786" s="123"/>
      <c r="M786" s="123"/>
      <c r="N786" s="123"/>
      <c r="O786" s="123"/>
      <c r="P786" s="123"/>
      <c r="Q786" s="123"/>
      <c r="R786" s="123"/>
      <c r="S786" s="123"/>
      <c r="T786" s="123"/>
      <c r="U786" s="123"/>
      <c r="V786" s="123"/>
      <c r="W786" s="123"/>
      <c r="X786" s="123"/>
      <c r="Y786" s="123"/>
    </row>
    <row r="787" spans="1:25" ht="15.75" customHeight="1" x14ac:dyDescent="0.2">
      <c r="A787" s="182"/>
      <c r="B787" s="175"/>
      <c r="C787" s="176"/>
      <c r="D787" s="176"/>
      <c r="E787" s="176"/>
      <c r="F787" s="123"/>
      <c r="G787" s="123"/>
      <c r="H787" s="123"/>
      <c r="I787" s="123"/>
      <c r="J787" s="174"/>
      <c r="K787" s="182"/>
      <c r="L787" s="123"/>
      <c r="M787" s="123"/>
      <c r="N787" s="123"/>
      <c r="O787" s="123"/>
      <c r="P787" s="123"/>
      <c r="Q787" s="123"/>
      <c r="R787" s="123"/>
      <c r="S787" s="123"/>
      <c r="T787" s="123"/>
      <c r="U787" s="123"/>
      <c r="V787" s="123"/>
      <c r="W787" s="123"/>
      <c r="X787" s="123"/>
      <c r="Y787" s="123"/>
    </row>
    <row r="788" spans="1:25" ht="15.75" customHeight="1" x14ac:dyDescent="0.2">
      <c r="A788" s="182"/>
      <c r="B788" s="175"/>
      <c r="C788" s="176"/>
      <c r="D788" s="176"/>
      <c r="E788" s="176"/>
      <c r="F788" s="123"/>
      <c r="G788" s="123"/>
      <c r="H788" s="123"/>
      <c r="I788" s="123"/>
      <c r="J788" s="174"/>
      <c r="K788" s="182"/>
      <c r="L788" s="123"/>
      <c r="M788" s="123"/>
      <c r="N788" s="123"/>
      <c r="O788" s="123"/>
      <c r="P788" s="123"/>
      <c r="Q788" s="123"/>
      <c r="R788" s="123"/>
      <c r="S788" s="123"/>
      <c r="T788" s="123"/>
      <c r="U788" s="123"/>
      <c r="V788" s="123"/>
      <c r="W788" s="123"/>
      <c r="X788" s="123"/>
      <c r="Y788" s="123"/>
    </row>
    <row r="789" spans="1:25" ht="15.75" customHeight="1" x14ac:dyDescent="0.2">
      <c r="A789" s="182"/>
      <c r="B789" s="175"/>
      <c r="C789" s="176"/>
      <c r="D789" s="176"/>
      <c r="E789" s="176"/>
      <c r="F789" s="123"/>
      <c r="G789" s="123"/>
      <c r="H789" s="123"/>
      <c r="I789" s="123"/>
      <c r="J789" s="174"/>
      <c r="K789" s="182"/>
      <c r="L789" s="123"/>
      <c r="M789" s="123"/>
      <c r="N789" s="123"/>
      <c r="O789" s="123"/>
      <c r="P789" s="123"/>
      <c r="Q789" s="123"/>
      <c r="R789" s="123"/>
      <c r="S789" s="123"/>
      <c r="T789" s="123"/>
      <c r="U789" s="123"/>
      <c r="V789" s="123"/>
      <c r="W789" s="123"/>
      <c r="X789" s="123"/>
      <c r="Y789" s="123"/>
    </row>
    <row r="790" spans="1:25" ht="15.75" customHeight="1" x14ac:dyDescent="0.2">
      <c r="A790" s="182"/>
      <c r="B790" s="175"/>
      <c r="C790" s="176"/>
      <c r="D790" s="176"/>
      <c r="E790" s="176"/>
      <c r="F790" s="123"/>
      <c r="G790" s="123"/>
      <c r="H790" s="123"/>
      <c r="I790" s="123"/>
      <c r="J790" s="174"/>
      <c r="K790" s="182"/>
      <c r="L790" s="123"/>
      <c r="M790" s="123"/>
      <c r="N790" s="123"/>
      <c r="O790" s="123"/>
      <c r="P790" s="123"/>
      <c r="Q790" s="123"/>
      <c r="R790" s="123"/>
      <c r="S790" s="123"/>
      <c r="T790" s="123"/>
      <c r="U790" s="123"/>
      <c r="V790" s="123"/>
      <c r="W790" s="123"/>
      <c r="X790" s="123"/>
      <c r="Y790" s="123"/>
    </row>
    <row r="791" spans="1:25" ht="15.75" customHeight="1" x14ac:dyDescent="0.2">
      <c r="A791" s="182"/>
      <c r="B791" s="175"/>
      <c r="C791" s="176"/>
      <c r="D791" s="176"/>
      <c r="E791" s="176"/>
      <c r="F791" s="123"/>
      <c r="G791" s="123"/>
      <c r="H791" s="123"/>
      <c r="I791" s="123"/>
      <c r="J791" s="174"/>
      <c r="K791" s="182"/>
      <c r="L791" s="123"/>
      <c r="M791" s="123"/>
      <c r="N791" s="123"/>
      <c r="O791" s="123"/>
      <c r="P791" s="123"/>
      <c r="Q791" s="123"/>
      <c r="R791" s="123"/>
      <c r="S791" s="123"/>
      <c r="T791" s="123"/>
      <c r="U791" s="123"/>
      <c r="V791" s="123"/>
      <c r="W791" s="123"/>
      <c r="X791" s="123"/>
      <c r="Y791" s="123"/>
    </row>
    <row r="792" spans="1:25" ht="15.75" customHeight="1" x14ac:dyDescent="0.2">
      <c r="A792" s="182"/>
      <c r="B792" s="175"/>
      <c r="C792" s="176"/>
      <c r="D792" s="176"/>
      <c r="E792" s="176"/>
      <c r="F792" s="123"/>
      <c r="G792" s="123"/>
      <c r="H792" s="123"/>
      <c r="I792" s="123"/>
      <c r="J792" s="174"/>
      <c r="K792" s="182"/>
      <c r="L792" s="123"/>
      <c r="M792" s="123"/>
      <c r="N792" s="123"/>
      <c r="O792" s="123"/>
      <c r="P792" s="123"/>
      <c r="Q792" s="123"/>
      <c r="R792" s="123"/>
      <c r="S792" s="123"/>
      <c r="T792" s="123"/>
      <c r="U792" s="123"/>
      <c r="V792" s="123"/>
      <c r="W792" s="123"/>
      <c r="X792" s="123"/>
      <c r="Y792" s="123"/>
    </row>
    <row r="793" spans="1:25" ht="15.75" customHeight="1" x14ac:dyDescent="0.2">
      <c r="A793" s="182"/>
      <c r="B793" s="175"/>
      <c r="C793" s="176"/>
      <c r="D793" s="176"/>
      <c r="E793" s="176"/>
      <c r="F793" s="123"/>
      <c r="G793" s="123"/>
      <c r="H793" s="123"/>
      <c r="I793" s="123"/>
      <c r="J793" s="174"/>
      <c r="K793" s="182"/>
      <c r="L793" s="123"/>
      <c r="M793" s="123"/>
      <c r="N793" s="123"/>
      <c r="O793" s="123"/>
      <c r="P793" s="123"/>
      <c r="Q793" s="123"/>
      <c r="R793" s="123"/>
      <c r="S793" s="123"/>
      <c r="T793" s="123"/>
      <c r="U793" s="123"/>
      <c r="V793" s="123"/>
      <c r="W793" s="123"/>
      <c r="X793" s="123"/>
      <c r="Y793" s="123"/>
    </row>
    <row r="794" spans="1:25" ht="15.75" customHeight="1" x14ac:dyDescent="0.2">
      <c r="A794" s="182"/>
      <c r="B794" s="175"/>
      <c r="C794" s="176"/>
      <c r="D794" s="176"/>
      <c r="E794" s="176"/>
      <c r="F794" s="123"/>
      <c r="G794" s="123"/>
      <c r="H794" s="123"/>
      <c r="I794" s="123"/>
      <c r="J794" s="174"/>
      <c r="K794" s="182"/>
      <c r="L794" s="123"/>
      <c r="M794" s="123"/>
      <c r="N794" s="123"/>
      <c r="O794" s="123"/>
      <c r="P794" s="123"/>
      <c r="Q794" s="123"/>
      <c r="R794" s="123"/>
      <c r="S794" s="123"/>
      <c r="T794" s="123"/>
      <c r="U794" s="123"/>
      <c r="V794" s="123"/>
      <c r="W794" s="123"/>
      <c r="X794" s="123"/>
      <c r="Y794" s="123"/>
    </row>
    <row r="795" spans="1:25" ht="15.75" customHeight="1" x14ac:dyDescent="0.2">
      <c r="A795" s="182"/>
      <c r="B795" s="175"/>
      <c r="C795" s="176"/>
      <c r="D795" s="176"/>
      <c r="E795" s="176"/>
      <c r="F795" s="123"/>
      <c r="G795" s="123"/>
      <c r="H795" s="123"/>
      <c r="I795" s="123"/>
      <c r="J795" s="174"/>
      <c r="K795" s="182"/>
      <c r="L795" s="123"/>
      <c r="M795" s="123"/>
      <c r="N795" s="123"/>
      <c r="O795" s="123"/>
      <c r="P795" s="123"/>
      <c r="Q795" s="123"/>
      <c r="R795" s="123"/>
      <c r="S795" s="123"/>
      <c r="T795" s="123"/>
      <c r="U795" s="123"/>
      <c r="V795" s="123"/>
      <c r="W795" s="123"/>
      <c r="X795" s="123"/>
      <c r="Y795" s="123"/>
    </row>
    <row r="796" spans="1:25" ht="15.75" customHeight="1" x14ac:dyDescent="0.2">
      <c r="A796" s="182"/>
      <c r="B796" s="175"/>
      <c r="C796" s="176"/>
      <c r="D796" s="176"/>
      <c r="E796" s="176"/>
      <c r="F796" s="123"/>
      <c r="G796" s="123"/>
      <c r="H796" s="123"/>
      <c r="I796" s="123"/>
      <c r="J796" s="174"/>
      <c r="K796" s="182"/>
      <c r="L796" s="123"/>
      <c r="M796" s="123"/>
      <c r="N796" s="123"/>
      <c r="O796" s="123"/>
      <c r="P796" s="123"/>
      <c r="Q796" s="123"/>
      <c r="R796" s="123"/>
      <c r="S796" s="123"/>
      <c r="T796" s="123"/>
      <c r="U796" s="123"/>
      <c r="V796" s="123"/>
      <c r="W796" s="123"/>
      <c r="X796" s="123"/>
      <c r="Y796" s="123"/>
    </row>
    <row r="797" spans="1:25" ht="15.75" customHeight="1" x14ac:dyDescent="0.2">
      <c r="A797" s="182"/>
      <c r="B797" s="175"/>
      <c r="C797" s="176"/>
      <c r="D797" s="176"/>
      <c r="E797" s="176"/>
      <c r="F797" s="123"/>
      <c r="G797" s="123"/>
      <c r="H797" s="123"/>
      <c r="I797" s="123"/>
      <c r="J797" s="174"/>
      <c r="K797" s="182"/>
      <c r="L797" s="123"/>
      <c r="M797" s="123"/>
      <c r="N797" s="123"/>
      <c r="O797" s="123"/>
      <c r="P797" s="123"/>
      <c r="Q797" s="123"/>
      <c r="R797" s="123"/>
      <c r="S797" s="123"/>
      <c r="T797" s="123"/>
      <c r="U797" s="123"/>
      <c r="V797" s="123"/>
      <c r="W797" s="123"/>
      <c r="X797" s="123"/>
      <c r="Y797" s="123"/>
    </row>
    <row r="798" spans="1:25" ht="15.75" customHeight="1" x14ac:dyDescent="0.2">
      <c r="A798" s="182"/>
      <c r="B798" s="175"/>
      <c r="C798" s="176"/>
      <c r="D798" s="176"/>
      <c r="E798" s="176"/>
      <c r="F798" s="123"/>
      <c r="G798" s="123"/>
      <c r="H798" s="123"/>
      <c r="I798" s="123"/>
      <c r="J798" s="174"/>
      <c r="K798" s="182"/>
      <c r="L798" s="123"/>
      <c r="M798" s="123"/>
      <c r="N798" s="123"/>
      <c r="O798" s="123"/>
      <c r="P798" s="123"/>
      <c r="Q798" s="123"/>
      <c r="R798" s="123"/>
      <c r="S798" s="123"/>
      <c r="T798" s="123"/>
      <c r="U798" s="123"/>
      <c r="V798" s="123"/>
      <c r="W798" s="123"/>
      <c r="X798" s="123"/>
      <c r="Y798" s="123"/>
    </row>
    <row r="799" spans="1:25" ht="15.75" customHeight="1" x14ac:dyDescent="0.2">
      <c r="A799" s="182"/>
      <c r="B799" s="175"/>
      <c r="C799" s="176"/>
      <c r="D799" s="176"/>
      <c r="E799" s="176"/>
      <c r="F799" s="123"/>
      <c r="G799" s="123"/>
      <c r="H799" s="123"/>
      <c r="I799" s="123"/>
      <c r="J799" s="174"/>
      <c r="K799" s="182"/>
      <c r="L799" s="123"/>
      <c r="M799" s="123"/>
      <c r="N799" s="123"/>
      <c r="O799" s="123"/>
      <c r="P799" s="123"/>
      <c r="Q799" s="123"/>
      <c r="R799" s="123"/>
      <c r="S799" s="123"/>
      <c r="T799" s="123"/>
      <c r="U799" s="123"/>
      <c r="V799" s="123"/>
      <c r="W799" s="123"/>
      <c r="X799" s="123"/>
      <c r="Y799" s="123"/>
    </row>
    <row r="800" spans="1:25" ht="15.75" customHeight="1" x14ac:dyDescent="0.2">
      <c r="A800" s="182"/>
      <c r="B800" s="175"/>
      <c r="C800" s="176"/>
      <c r="D800" s="176"/>
      <c r="E800" s="176"/>
      <c r="F800" s="123"/>
      <c r="G800" s="123"/>
      <c r="H800" s="123"/>
      <c r="I800" s="123"/>
      <c r="J800" s="174"/>
      <c r="K800" s="182"/>
      <c r="L800" s="123"/>
      <c r="M800" s="123"/>
      <c r="N800" s="123"/>
      <c r="O800" s="123"/>
      <c r="P800" s="123"/>
      <c r="Q800" s="123"/>
      <c r="R800" s="123"/>
      <c r="S800" s="123"/>
      <c r="T800" s="123"/>
      <c r="U800" s="123"/>
      <c r="V800" s="123"/>
      <c r="W800" s="123"/>
      <c r="X800" s="123"/>
      <c r="Y800" s="123"/>
    </row>
    <row r="801" spans="1:25" ht="15.75" customHeight="1" x14ac:dyDescent="0.2">
      <c r="A801" s="182"/>
      <c r="B801" s="175"/>
      <c r="C801" s="176"/>
      <c r="D801" s="176"/>
      <c r="E801" s="176"/>
      <c r="F801" s="123"/>
      <c r="G801" s="123"/>
      <c r="H801" s="123"/>
      <c r="I801" s="123"/>
      <c r="J801" s="174"/>
      <c r="K801" s="182"/>
      <c r="L801" s="123"/>
      <c r="M801" s="123"/>
      <c r="N801" s="123"/>
      <c r="O801" s="123"/>
      <c r="P801" s="123"/>
      <c r="Q801" s="123"/>
      <c r="R801" s="123"/>
      <c r="S801" s="123"/>
      <c r="T801" s="123"/>
      <c r="U801" s="123"/>
      <c r="V801" s="123"/>
      <c r="W801" s="123"/>
      <c r="X801" s="123"/>
      <c r="Y801" s="123"/>
    </row>
    <row r="802" spans="1:25" ht="15.75" customHeight="1" x14ac:dyDescent="0.2">
      <c r="A802" s="182"/>
      <c r="B802" s="175"/>
      <c r="C802" s="176"/>
      <c r="D802" s="176"/>
      <c r="E802" s="176"/>
      <c r="F802" s="123"/>
      <c r="G802" s="123"/>
      <c r="H802" s="123"/>
      <c r="I802" s="123"/>
      <c r="J802" s="174"/>
      <c r="K802" s="182"/>
      <c r="L802" s="123"/>
      <c r="M802" s="123"/>
      <c r="N802" s="123"/>
      <c r="O802" s="123"/>
      <c r="P802" s="123"/>
      <c r="Q802" s="123"/>
      <c r="R802" s="123"/>
      <c r="S802" s="123"/>
      <c r="T802" s="123"/>
      <c r="U802" s="123"/>
      <c r="V802" s="123"/>
      <c r="W802" s="123"/>
      <c r="X802" s="123"/>
      <c r="Y802" s="123"/>
    </row>
    <row r="803" spans="1:25" ht="15.75" customHeight="1" x14ac:dyDescent="0.2">
      <c r="A803" s="182"/>
      <c r="B803" s="175"/>
      <c r="C803" s="176"/>
      <c r="D803" s="176"/>
      <c r="E803" s="176"/>
      <c r="F803" s="123"/>
      <c r="G803" s="123"/>
      <c r="H803" s="123"/>
      <c r="I803" s="123"/>
      <c r="J803" s="174"/>
      <c r="K803" s="182"/>
      <c r="L803" s="123"/>
      <c r="M803" s="123"/>
      <c r="N803" s="123"/>
      <c r="O803" s="123"/>
      <c r="P803" s="123"/>
      <c r="Q803" s="123"/>
      <c r="R803" s="123"/>
      <c r="S803" s="123"/>
      <c r="T803" s="123"/>
      <c r="U803" s="123"/>
      <c r="V803" s="123"/>
      <c r="W803" s="123"/>
      <c r="X803" s="123"/>
      <c r="Y803" s="123"/>
    </row>
    <row r="804" spans="1:25" ht="15.75" customHeight="1" x14ac:dyDescent="0.2">
      <c r="A804" s="182"/>
      <c r="B804" s="175"/>
      <c r="C804" s="176"/>
      <c r="D804" s="176"/>
      <c r="E804" s="176"/>
      <c r="F804" s="123"/>
      <c r="G804" s="123"/>
      <c r="H804" s="123"/>
      <c r="I804" s="123"/>
      <c r="J804" s="174"/>
      <c r="K804" s="182"/>
      <c r="L804" s="123"/>
      <c r="M804" s="123"/>
      <c r="N804" s="123"/>
      <c r="O804" s="123"/>
      <c r="P804" s="123"/>
      <c r="Q804" s="123"/>
      <c r="R804" s="123"/>
      <c r="S804" s="123"/>
      <c r="T804" s="123"/>
      <c r="U804" s="123"/>
      <c r="V804" s="123"/>
      <c r="W804" s="123"/>
      <c r="X804" s="123"/>
      <c r="Y804" s="123"/>
    </row>
    <row r="805" spans="1:25" ht="15.75" customHeight="1" x14ac:dyDescent="0.2">
      <c r="A805" s="182"/>
      <c r="B805" s="175"/>
      <c r="C805" s="176"/>
      <c r="D805" s="176"/>
      <c r="E805" s="176"/>
      <c r="F805" s="123"/>
      <c r="G805" s="123"/>
      <c r="H805" s="123"/>
      <c r="I805" s="123"/>
      <c r="J805" s="174"/>
      <c r="K805" s="182"/>
      <c r="L805" s="123"/>
      <c r="M805" s="123"/>
      <c r="N805" s="123"/>
      <c r="O805" s="123"/>
      <c r="P805" s="123"/>
      <c r="Q805" s="123"/>
      <c r="R805" s="123"/>
      <c r="S805" s="123"/>
      <c r="T805" s="123"/>
      <c r="U805" s="123"/>
      <c r="V805" s="123"/>
      <c r="W805" s="123"/>
      <c r="X805" s="123"/>
      <c r="Y805" s="123"/>
    </row>
    <row r="806" spans="1:25" ht="15.75" customHeight="1" x14ac:dyDescent="0.2">
      <c r="A806" s="182"/>
      <c r="B806" s="175"/>
      <c r="C806" s="176"/>
      <c r="D806" s="176"/>
      <c r="E806" s="176"/>
      <c r="F806" s="123"/>
      <c r="G806" s="123"/>
      <c r="H806" s="123"/>
      <c r="I806" s="123"/>
      <c r="J806" s="174"/>
      <c r="K806" s="182"/>
      <c r="L806" s="123"/>
      <c r="M806" s="123"/>
      <c r="N806" s="123"/>
      <c r="O806" s="123"/>
      <c r="P806" s="123"/>
      <c r="Q806" s="123"/>
      <c r="R806" s="123"/>
      <c r="S806" s="123"/>
      <c r="T806" s="123"/>
      <c r="U806" s="123"/>
      <c r="V806" s="123"/>
      <c r="W806" s="123"/>
      <c r="X806" s="123"/>
      <c r="Y806" s="123"/>
    </row>
    <row r="807" spans="1:25" ht="15.75" customHeight="1" x14ac:dyDescent="0.2">
      <c r="A807" s="182"/>
      <c r="B807" s="175"/>
      <c r="C807" s="176"/>
      <c r="D807" s="176"/>
      <c r="E807" s="176"/>
      <c r="F807" s="123"/>
      <c r="G807" s="123"/>
      <c r="H807" s="123"/>
      <c r="I807" s="123"/>
      <c r="J807" s="174"/>
      <c r="K807" s="182"/>
      <c r="L807" s="123"/>
      <c r="M807" s="123"/>
      <c r="N807" s="123"/>
      <c r="O807" s="123"/>
      <c r="P807" s="123"/>
      <c r="Q807" s="123"/>
      <c r="R807" s="123"/>
      <c r="S807" s="123"/>
      <c r="T807" s="123"/>
      <c r="U807" s="123"/>
      <c r="V807" s="123"/>
      <c r="W807" s="123"/>
      <c r="X807" s="123"/>
      <c r="Y807" s="123"/>
    </row>
    <row r="808" spans="1:25" ht="15.75" customHeight="1" x14ac:dyDescent="0.2">
      <c r="A808" s="182"/>
      <c r="B808" s="175"/>
      <c r="C808" s="176"/>
      <c r="D808" s="176"/>
      <c r="E808" s="176"/>
      <c r="F808" s="123"/>
      <c r="G808" s="123"/>
      <c r="H808" s="123"/>
      <c r="I808" s="123"/>
      <c r="J808" s="174"/>
      <c r="K808" s="182"/>
      <c r="L808" s="123"/>
      <c r="M808" s="123"/>
      <c r="N808" s="123"/>
      <c r="O808" s="123"/>
      <c r="P808" s="123"/>
      <c r="Q808" s="123"/>
      <c r="R808" s="123"/>
      <c r="S808" s="123"/>
      <c r="T808" s="123"/>
      <c r="U808" s="123"/>
      <c r="V808" s="123"/>
      <c r="W808" s="123"/>
      <c r="X808" s="123"/>
      <c r="Y808" s="123"/>
    </row>
    <row r="809" spans="1:25" ht="15.75" customHeight="1" x14ac:dyDescent="0.2">
      <c r="A809" s="182"/>
      <c r="B809" s="175"/>
      <c r="C809" s="176"/>
      <c r="D809" s="176"/>
      <c r="E809" s="176"/>
      <c r="F809" s="123"/>
      <c r="G809" s="123"/>
      <c r="H809" s="123"/>
      <c r="I809" s="123"/>
      <c r="J809" s="174"/>
      <c r="K809" s="182"/>
      <c r="L809" s="123"/>
      <c r="M809" s="123"/>
      <c r="N809" s="123"/>
      <c r="O809" s="123"/>
      <c r="P809" s="123"/>
      <c r="Q809" s="123"/>
      <c r="R809" s="123"/>
      <c r="S809" s="123"/>
      <c r="T809" s="123"/>
      <c r="U809" s="123"/>
      <c r="V809" s="123"/>
      <c r="W809" s="123"/>
      <c r="X809" s="123"/>
      <c r="Y809" s="123"/>
    </row>
    <row r="810" spans="1:25" ht="15.75" customHeight="1" x14ac:dyDescent="0.2">
      <c r="A810" s="182"/>
      <c r="B810" s="175"/>
      <c r="C810" s="176"/>
      <c r="D810" s="176"/>
      <c r="E810" s="176"/>
      <c r="F810" s="123"/>
      <c r="G810" s="123"/>
      <c r="H810" s="123"/>
      <c r="I810" s="123"/>
      <c r="J810" s="174"/>
      <c r="K810" s="182"/>
      <c r="L810" s="123"/>
      <c r="M810" s="123"/>
      <c r="N810" s="123"/>
      <c r="O810" s="123"/>
      <c r="P810" s="123"/>
      <c r="Q810" s="123"/>
      <c r="R810" s="123"/>
      <c r="S810" s="123"/>
      <c r="T810" s="123"/>
      <c r="U810" s="123"/>
      <c r="V810" s="123"/>
      <c r="W810" s="123"/>
      <c r="X810" s="123"/>
      <c r="Y810" s="123"/>
    </row>
    <row r="811" spans="1:25" ht="15.75" customHeight="1" x14ac:dyDescent="0.2">
      <c r="A811" s="182"/>
      <c r="B811" s="175"/>
      <c r="C811" s="176"/>
      <c r="D811" s="176"/>
      <c r="E811" s="176"/>
      <c r="F811" s="123"/>
      <c r="G811" s="123"/>
      <c r="H811" s="123"/>
      <c r="I811" s="123"/>
      <c r="J811" s="174"/>
      <c r="K811" s="182"/>
      <c r="L811" s="123"/>
      <c r="M811" s="123"/>
      <c r="N811" s="123"/>
      <c r="O811" s="123"/>
      <c r="P811" s="123"/>
      <c r="Q811" s="123"/>
      <c r="R811" s="123"/>
      <c r="S811" s="123"/>
      <c r="T811" s="123"/>
      <c r="U811" s="123"/>
      <c r="V811" s="123"/>
      <c r="W811" s="123"/>
      <c r="X811" s="123"/>
      <c r="Y811" s="123"/>
    </row>
    <row r="812" spans="1:25" ht="15.75" customHeight="1" x14ac:dyDescent="0.2">
      <c r="A812" s="182"/>
      <c r="B812" s="175"/>
      <c r="C812" s="176"/>
      <c r="D812" s="176"/>
      <c r="E812" s="176"/>
      <c r="F812" s="123"/>
      <c r="G812" s="123"/>
      <c r="H812" s="123"/>
      <c r="I812" s="123"/>
      <c r="J812" s="174"/>
      <c r="K812" s="182"/>
      <c r="L812" s="123"/>
      <c r="M812" s="123"/>
      <c r="N812" s="123"/>
      <c r="O812" s="123"/>
      <c r="P812" s="123"/>
      <c r="Q812" s="123"/>
      <c r="R812" s="123"/>
      <c r="S812" s="123"/>
      <c r="T812" s="123"/>
      <c r="U812" s="123"/>
      <c r="V812" s="123"/>
      <c r="W812" s="123"/>
      <c r="X812" s="123"/>
      <c r="Y812" s="123"/>
    </row>
    <row r="813" spans="1:25" ht="15.75" customHeight="1" x14ac:dyDescent="0.2">
      <c r="A813" s="182"/>
      <c r="B813" s="175"/>
      <c r="C813" s="176"/>
      <c r="D813" s="176"/>
      <c r="E813" s="176"/>
      <c r="F813" s="123"/>
      <c r="G813" s="123"/>
      <c r="H813" s="123"/>
      <c r="I813" s="123"/>
      <c r="J813" s="174"/>
      <c r="K813" s="182"/>
      <c r="L813" s="123"/>
      <c r="M813" s="123"/>
      <c r="N813" s="123"/>
      <c r="O813" s="123"/>
      <c r="P813" s="123"/>
      <c r="Q813" s="123"/>
      <c r="R813" s="123"/>
      <c r="S813" s="123"/>
      <c r="T813" s="123"/>
      <c r="U813" s="123"/>
      <c r="V813" s="123"/>
      <c r="W813" s="123"/>
      <c r="X813" s="123"/>
      <c r="Y813" s="123"/>
    </row>
    <row r="814" spans="1:25" ht="15.75" customHeight="1" x14ac:dyDescent="0.2">
      <c r="A814" s="182"/>
      <c r="B814" s="175"/>
      <c r="C814" s="176"/>
      <c r="D814" s="176"/>
      <c r="E814" s="176"/>
      <c r="F814" s="123"/>
      <c r="G814" s="123"/>
      <c r="H814" s="123"/>
      <c r="I814" s="123"/>
      <c r="J814" s="174"/>
      <c r="K814" s="182"/>
      <c r="L814" s="123"/>
      <c r="M814" s="123"/>
      <c r="N814" s="123"/>
      <c r="O814" s="123"/>
      <c r="P814" s="123"/>
      <c r="Q814" s="123"/>
      <c r="R814" s="123"/>
      <c r="S814" s="123"/>
      <c r="T814" s="123"/>
      <c r="U814" s="123"/>
      <c r="V814" s="123"/>
      <c r="W814" s="123"/>
      <c r="X814" s="123"/>
      <c r="Y814" s="123"/>
    </row>
    <row r="815" spans="1:25" ht="15.75" customHeight="1" x14ac:dyDescent="0.2">
      <c r="A815" s="182"/>
      <c r="B815" s="175"/>
      <c r="C815" s="176"/>
      <c r="D815" s="176"/>
      <c r="E815" s="176"/>
      <c r="F815" s="123"/>
      <c r="G815" s="123"/>
      <c r="H815" s="123"/>
      <c r="I815" s="123"/>
      <c r="J815" s="174"/>
      <c r="K815" s="182"/>
      <c r="L815" s="123"/>
      <c r="M815" s="123"/>
      <c r="N815" s="123"/>
      <c r="O815" s="123"/>
      <c r="P815" s="123"/>
      <c r="Q815" s="123"/>
      <c r="R815" s="123"/>
      <c r="S815" s="123"/>
      <c r="T815" s="123"/>
      <c r="U815" s="123"/>
      <c r="V815" s="123"/>
      <c r="W815" s="123"/>
      <c r="X815" s="123"/>
      <c r="Y815" s="123"/>
    </row>
    <row r="816" spans="1:25" ht="15.75" customHeight="1" x14ac:dyDescent="0.2">
      <c r="A816" s="182"/>
      <c r="B816" s="175"/>
      <c r="C816" s="176"/>
      <c r="D816" s="176"/>
      <c r="E816" s="176"/>
      <c r="F816" s="123"/>
      <c r="G816" s="123"/>
      <c r="H816" s="123"/>
      <c r="I816" s="123"/>
      <c r="J816" s="174"/>
      <c r="K816" s="182"/>
      <c r="L816" s="123"/>
      <c r="M816" s="123"/>
      <c r="N816" s="123"/>
      <c r="O816" s="123"/>
      <c r="P816" s="123"/>
      <c r="Q816" s="123"/>
      <c r="R816" s="123"/>
      <c r="S816" s="123"/>
      <c r="T816" s="123"/>
      <c r="U816" s="123"/>
      <c r="V816" s="123"/>
      <c r="W816" s="123"/>
      <c r="X816" s="123"/>
      <c r="Y816" s="123"/>
    </row>
    <row r="817" spans="1:25" ht="15.75" customHeight="1" x14ac:dyDescent="0.2">
      <c r="A817" s="182"/>
      <c r="B817" s="175"/>
      <c r="C817" s="176"/>
      <c r="D817" s="176"/>
      <c r="E817" s="176"/>
      <c r="F817" s="123"/>
      <c r="G817" s="123"/>
      <c r="H817" s="123"/>
      <c r="I817" s="123"/>
      <c r="J817" s="174"/>
      <c r="K817" s="182"/>
      <c r="L817" s="123"/>
      <c r="M817" s="123"/>
      <c r="N817" s="123"/>
      <c r="O817" s="123"/>
      <c r="P817" s="123"/>
      <c r="Q817" s="123"/>
      <c r="R817" s="123"/>
      <c r="S817" s="123"/>
      <c r="T817" s="123"/>
      <c r="U817" s="123"/>
      <c r="V817" s="123"/>
      <c r="W817" s="123"/>
      <c r="X817" s="123"/>
      <c r="Y817" s="123"/>
    </row>
    <row r="818" spans="1:25" ht="15.75" customHeight="1" x14ac:dyDescent="0.2">
      <c r="A818" s="182"/>
      <c r="B818" s="175"/>
      <c r="C818" s="176"/>
      <c r="D818" s="176"/>
      <c r="E818" s="176"/>
      <c r="F818" s="123"/>
      <c r="G818" s="123"/>
      <c r="H818" s="123"/>
      <c r="I818" s="123"/>
      <c r="J818" s="174"/>
      <c r="K818" s="182"/>
      <c r="L818" s="123"/>
      <c r="M818" s="123"/>
      <c r="N818" s="123"/>
      <c r="O818" s="123"/>
      <c r="P818" s="123"/>
      <c r="Q818" s="123"/>
      <c r="R818" s="123"/>
      <c r="S818" s="123"/>
      <c r="T818" s="123"/>
      <c r="U818" s="123"/>
      <c r="V818" s="123"/>
      <c r="W818" s="123"/>
      <c r="X818" s="123"/>
      <c r="Y818" s="123"/>
    </row>
    <row r="819" spans="1:25" ht="15.75" customHeight="1" x14ac:dyDescent="0.2">
      <c r="A819" s="182"/>
      <c r="B819" s="175"/>
      <c r="C819" s="176"/>
      <c r="D819" s="176"/>
      <c r="E819" s="176"/>
      <c r="F819" s="123"/>
      <c r="G819" s="123"/>
      <c r="H819" s="123"/>
      <c r="I819" s="123"/>
      <c r="J819" s="174"/>
      <c r="K819" s="182"/>
      <c r="L819" s="123"/>
      <c r="M819" s="123"/>
      <c r="N819" s="123"/>
      <c r="O819" s="123"/>
      <c r="P819" s="123"/>
      <c r="Q819" s="123"/>
      <c r="R819" s="123"/>
      <c r="S819" s="123"/>
      <c r="T819" s="123"/>
      <c r="U819" s="123"/>
      <c r="V819" s="123"/>
      <c r="W819" s="123"/>
      <c r="X819" s="123"/>
      <c r="Y819" s="123"/>
    </row>
    <row r="820" spans="1:25" ht="15.75" customHeight="1" x14ac:dyDescent="0.2">
      <c r="A820" s="182"/>
      <c r="B820" s="175"/>
      <c r="C820" s="176"/>
      <c r="D820" s="176"/>
      <c r="E820" s="176"/>
      <c r="F820" s="123"/>
      <c r="G820" s="123"/>
      <c r="H820" s="123"/>
      <c r="I820" s="123"/>
      <c r="J820" s="174"/>
      <c r="K820" s="182"/>
      <c r="L820" s="123"/>
      <c r="M820" s="123"/>
      <c r="N820" s="123"/>
      <c r="O820" s="123"/>
      <c r="P820" s="123"/>
      <c r="Q820" s="123"/>
      <c r="R820" s="123"/>
      <c r="S820" s="123"/>
      <c r="T820" s="123"/>
      <c r="U820" s="123"/>
      <c r="V820" s="123"/>
      <c r="W820" s="123"/>
      <c r="X820" s="123"/>
      <c r="Y820" s="123"/>
    </row>
    <row r="821" spans="1:25" ht="15.75" customHeight="1" x14ac:dyDescent="0.2">
      <c r="A821" s="182"/>
      <c r="B821" s="175"/>
      <c r="C821" s="176"/>
      <c r="D821" s="176"/>
      <c r="E821" s="176"/>
      <c r="F821" s="123"/>
      <c r="G821" s="123"/>
      <c r="H821" s="123"/>
      <c r="I821" s="123"/>
      <c r="J821" s="174"/>
      <c r="K821" s="182"/>
      <c r="L821" s="123"/>
      <c r="M821" s="123"/>
      <c r="N821" s="123"/>
      <c r="O821" s="123"/>
      <c r="P821" s="123"/>
      <c r="Q821" s="123"/>
      <c r="R821" s="123"/>
      <c r="S821" s="123"/>
      <c r="T821" s="123"/>
      <c r="U821" s="123"/>
      <c r="V821" s="123"/>
      <c r="W821" s="123"/>
      <c r="X821" s="123"/>
      <c r="Y821" s="123"/>
    </row>
    <row r="822" spans="1:25" ht="15.75" customHeight="1" x14ac:dyDescent="0.2">
      <c r="A822" s="182"/>
      <c r="B822" s="175"/>
      <c r="C822" s="176"/>
      <c r="D822" s="176"/>
      <c r="E822" s="176"/>
      <c r="F822" s="123"/>
      <c r="G822" s="123"/>
      <c r="H822" s="123"/>
      <c r="I822" s="123"/>
      <c r="J822" s="174"/>
      <c r="K822" s="182"/>
      <c r="L822" s="123"/>
      <c r="M822" s="123"/>
      <c r="N822" s="123"/>
      <c r="O822" s="123"/>
      <c r="P822" s="123"/>
      <c r="Q822" s="123"/>
      <c r="R822" s="123"/>
      <c r="S822" s="123"/>
      <c r="T822" s="123"/>
      <c r="U822" s="123"/>
      <c r="V822" s="123"/>
      <c r="W822" s="123"/>
      <c r="X822" s="123"/>
      <c r="Y822" s="123"/>
    </row>
    <row r="823" spans="1:25" ht="15.75" customHeight="1" x14ac:dyDescent="0.2">
      <c r="A823" s="182"/>
      <c r="B823" s="175"/>
      <c r="C823" s="176"/>
      <c r="D823" s="176"/>
      <c r="E823" s="176"/>
      <c r="F823" s="123"/>
      <c r="G823" s="123"/>
      <c r="H823" s="123"/>
      <c r="I823" s="123"/>
      <c r="J823" s="174"/>
      <c r="K823" s="182"/>
      <c r="L823" s="123"/>
      <c r="M823" s="123"/>
      <c r="N823" s="123"/>
      <c r="O823" s="123"/>
      <c r="P823" s="123"/>
      <c r="Q823" s="123"/>
      <c r="R823" s="123"/>
      <c r="S823" s="123"/>
      <c r="T823" s="123"/>
      <c r="U823" s="123"/>
      <c r="V823" s="123"/>
      <c r="W823" s="123"/>
      <c r="X823" s="123"/>
      <c r="Y823" s="123"/>
    </row>
    <row r="824" spans="1:25" ht="15.75" customHeight="1" x14ac:dyDescent="0.2">
      <c r="A824" s="182"/>
      <c r="B824" s="175"/>
      <c r="C824" s="176"/>
      <c r="D824" s="176"/>
      <c r="E824" s="176"/>
      <c r="F824" s="123"/>
      <c r="G824" s="123"/>
      <c r="H824" s="123"/>
      <c r="I824" s="123"/>
      <c r="J824" s="174"/>
      <c r="K824" s="182"/>
      <c r="L824" s="123"/>
      <c r="M824" s="123"/>
      <c r="N824" s="123"/>
      <c r="O824" s="123"/>
      <c r="P824" s="123"/>
      <c r="Q824" s="123"/>
      <c r="R824" s="123"/>
      <c r="S824" s="123"/>
      <c r="T824" s="123"/>
      <c r="U824" s="123"/>
      <c r="V824" s="123"/>
      <c r="W824" s="123"/>
      <c r="X824" s="123"/>
      <c r="Y824" s="123"/>
    </row>
    <row r="825" spans="1:25" ht="15.75" customHeight="1" x14ac:dyDescent="0.2">
      <c r="A825" s="182"/>
      <c r="B825" s="175"/>
      <c r="C825" s="176"/>
      <c r="D825" s="176"/>
      <c r="E825" s="176"/>
      <c r="F825" s="123"/>
      <c r="G825" s="123"/>
      <c r="H825" s="123"/>
      <c r="I825" s="123"/>
      <c r="J825" s="174"/>
      <c r="K825" s="182"/>
      <c r="L825" s="123"/>
      <c r="M825" s="123"/>
      <c r="N825" s="123"/>
      <c r="O825" s="123"/>
      <c r="P825" s="123"/>
      <c r="Q825" s="123"/>
      <c r="R825" s="123"/>
      <c r="S825" s="123"/>
      <c r="T825" s="123"/>
      <c r="U825" s="123"/>
      <c r="V825" s="123"/>
      <c r="W825" s="123"/>
      <c r="X825" s="123"/>
      <c r="Y825" s="123"/>
    </row>
    <row r="826" spans="1:25" ht="15.75" customHeight="1" x14ac:dyDescent="0.2">
      <c r="A826" s="182"/>
      <c r="B826" s="175"/>
      <c r="C826" s="176"/>
      <c r="D826" s="176"/>
      <c r="E826" s="176"/>
      <c r="F826" s="123"/>
      <c r="G826" s="123"/>
      <c r="H826" s="123"/>
      <c r="I826" s="123"/>
      <c r="J826" s="174"/>
      <c r="K826" s="182"/>
      <c r="L826" s="123"/>
      <c r="M826" s="123"/>
      <c r="N826" s="123"/>
      <c r="O826" s="123"/>
      <c r="P826" s="123"/>
      <c r="Q826" s="123"/>
      <c r="R826" s="123"/>
      <c r="S826" s="123"/>
      <c r="T826" s="123"/>
      <c r="U826" s="123"/>
      <c r="V826" s="123"/>
      <c r="W826" s="123"/>
      <c r="X826" s="123"/>
      <c r="Y826" s="123"/>
    </row>
    <row r="827" spans="1:25" ht="15.75" customHeight="1" x14ac:dyDescent="0.2">
      <c r="A827" s="182"/>
      <c r="B827" s="175"/>
      <c r="C827" s="176"/>
      <c r="D827" s="176"/>
      <c r="E827" s="176"/>
      <c r="F827" s="123"/>
      <c r="G827" s="123"/>
      <c r="H827" s="123"/>
      <c r="I827" s="123"/>
      <c r="J827" s="174"/>
      <c r="K827" s="182"/>
      <c r="L827" s="123"/>
      <c r="M827" s="123"/>
      <c r="N827" s="123"/>
      <c r="O827" s="123"/>
      <c r="P827" s="123"/>
      <c r="Q827" s="123"/>
      <c r="R827" s="123"/>
      <c r="S827" s="123"/>
      <c r="T827" s="123"/>
      <c r="U827" s="123"/>
      <c r="V827" s="123"/>
      <c r="W827" s="123"/>
      <c r="X827" s="123"/>
      <c r="Y827" s="123"/>
    </row>
    <row r="828" spans="1:25" ht="15.75" customHeight="1" x14ac:dyDescent="0.2">
      <c r="A828" s="182"/>
      <c r="B828" s="175"/>
      <c r="C828" s="176"/>
      <c r="D828" s="176"/>
      <c r="E828" s="176"/>
      <c r="F828" s="123"/>
      <c r="G828" s="123"/>
      <c r="H828" s="123"/>
      <c r="I828" s="123"/>
      <c r="J828" s="174"/>
      <c r="K828" s="182"/>
      <c r="L828" s="123"/>
      <c r="M828" s="123"/>
      <c r="N828" s="123"/>
      <c r="O828" s="123"/>
      <c r="P828" s="123"/>
      <c r="Q828" s="123"/>
      <c r="R828" s="123"/>
      <c r="S828" s="123"/>
      <c r="T828" s="123"/>
      <c r="U828" s="123"/>
      <c r="V828" s="123"/>
      <c r="W828" s="123"/>
      <c r="X828" s="123"/>
      <c r="Y828" s="123"/>
    </row>
    <row r="829" spans="1:25" ht="15.75" customHeight="1" x14ac:dyDescent="0.2">
      <c r="A829" s="182"/>
      <c r="B829" s="175"/>
      <c r="C829" s="176"/>
      <c r="D829" s="176"/>
      <c r="E829" s="176"/>
      <c r="F829" s="123"/>
      <c r="G829" s="123"/>
      <c r="H829" s="123"/>
      <c r="I829" s="123"/>
      <c r="J829" s="174"/>
      <c r="K829" s="182"/>
      <c r="L829" s="123"/>
      <c r="M829" s="123"/>
      <c r="N829" s="123"/>
      <c r="O829" s="123"/>
      <c r="P829" s="123"/>
      <c r="Q829" s="123"/>
      <c r="R829" s="123"/>
      <c r="S829" s="123"/>
      <c r="T829" s="123"/>
      <c r="U829" s="123"/>
      <c r="V829" s="123"/>
      <c r="W829" s="123"/>
      <c r="X829" s="123"/>
      <c r="Y829" s="123"/>
    </row>
    <row r="830" spans="1:25" ht="15.75" customHeight="1" x14ac:dyDescent="0.2">
      <c r="A830" s="182"/>
      <c r="B830" s="175"/>
      <c r="C830" s="176"/>
      <c r="D830" s="176"/>
      <c r="E830" s="176"/>
      <c r="F830" s="123"/>
      <c r="G830" s="123"/>
      <c r="H830" s="123"/>
      <c r="I830" s="123"/>
      <c r="J830" s="174"/>
      <c r="K830" s="182"/>
      <c r="L830" s="123"/>
      <c r="M830" s="123"/>
      <c r="N830" s="123"/>
      <c r="O830" s="123"/>
      <c r="P830" s="123"/>
      <c r="Q830" s="123"/>
      <c r="R830" s="123"/>
      <c r="S830" s="123"/>
      <c r="T830" s="123"/>
      <c r="U830" s="123"/>
      <c r="V830" s="123"/>
      <c r="W830" s="123"/>
      <c r="X830" s="123"/>
      <c r="Y830" s="123"/>
    </row>
    <row r="831" spans="1:25" ht="15.75" customHeight="1" x14ac:dyDescent="0.2">
      <c r="A831" s="182"/>
      <c r="B831" s="175"/>
      <c r="C831" s="176"/>
      <c r="D831" s="176"/>
      <c r="E831" s="176"/>
      <c r="F831" s="123"/>
      <c r="G831" s="123"/>
      <c r="H831" s="123"/>
      <c r="I831" s="123"/>
      <c r="J831" s="174"/>
      <c r="K831" s="182"/>
      <c r="L831" s="123"/>
      <c r="M831" s="123"/>
      <c r="N831" s="123"/>
      <c r="O831" s="123"/>
      <c r="P831" s="123"/>
      <c r="Q831" s="123"/>
      <c r="R831" s="123"/>
      <c r="S831" s="123"/>
      <c r="T831" s="123"/>
      <c r="U831" s="123"/>
      <c r="V831" s="123"/>
      <c r="W831" s="123"/>
      <c r="X831" s="123"/>
      <c r="Y831" s="123"/>
    </row>
    <row r="832" spans="1:25" ht="15.75" customHeight="1" x14ac:dyDescent="0.2">
      <c r="A832" s="182"/>
      <c r="B832" s="175"/>
      <c r="C832" s="176"/>
      <c r="D832" s="176"/>
      <c r="E832" s="176"/>
      <c r="F832" s="123"/>
      <c r="G832" s="123"/>
      <c r="H832" s="123"/>
      <c r="I832" s="123"/>
      <c r="J832" s="174"/>
      <c r="K832" s="182"/>
      <c r="L832" s="123"/>
      <c r="M832" s="123"/>
      <c r="N832" s="123"/>
      <c r="O832" s="123"/>
      <c r="P832" s="123"/>
      <c r="Q832" s="123"/>
      <c r="R832" s="123"/>
      <c r="S832" s="123"/>
      <c r="T832" s="123"/>
      <c r="U832" s="123"/>
      <c r="V832" s="123"/>
      <c r="W832" s="123"/>
      <c r="X832" s="123"/>
      <c r="Y832" s="123"/>
    </row>
    <row r="833" spans="1:25" ht="15.75" customHeight="1" x14ac:dyDescent="0.2">
      <c r="A833" s="182"/>
      <c r="B833" s="175"/>
      <c r="C833" s="176"/>
      <c r="D833" s="176"/>
      <c r="E833" s="176"/>
      <c r="F833" s="123"/>
      <c r="G833" s="123"/>
      <c r="H833" s="123"/>
      <c r="I833" s="123"/>
      <c r="J833" s="174"/>
      <c r="K833" s="182"/>
      <c r="L833" s="123"/>
      <c r="M833" s="123"/>
      <c r="N833" s="123"/>
      <c r="O833" s="123"/>
      <c r="P833" s="123"/>
      <c r="Q833" s="123"/>
      <c r="R833" s="123"/>
      <c r="S833" s="123"/>
      <c r="T833" s="123"/>
      <c r="U833" s="123"/>
      <c r="V833" s="123"/>
      <c r="W833" s="123"/>
      <c r="X833" s="123"/>
      <c r="Y833" s="123"/>
    </row>
    <row r="834" spans="1:25" ht="15.75" customHeight="1" x14ac:dyDescent="0.2">
      <c r="A834" s="182"/>
      <c r="B834" s="175"/>
      <c r="C834" s="176"/>
      <c r="D834" s="176"/>
      <c r="E834" s="176"/>
      <c r="F834" s="123"/>
      <c r="G834" s="123"/>
      <c r="H834" s="123"/>
      <c r="I834" s="123"/>
      <c r="J834" s="174"/>
      <c r="K834" s="182"/>
      <c r="L834" s="123"/>
      <c r="M834" s="123"/>
      <c r="N834" s="123"/>
      <c r="O834" s="123"/>
      <c r="P834" s="123"/>
      <c r="Q834" s="123"/>
      <c r="R834" s="123"/>
      <c r="S834" s="123"/>
      <c r="T834" s="123"/>
      <c r="U834" s="123"/>
      <c r="V834" s="123"/>
      <c r="W834" s="123"/>
      <c r="X834" s="123"/>
      <c r="Y834" s="123"/>
    </row>
    <row r="835" spans="1:25" ht="15.75" customHeight="1" x14ac:dyDescent="0.2">
      <c r="A835" s="182"/>
      <c r="B835" s="175"/>
      <c r="C835" s="176"/>
      <c r="D835" s="176"/>
      <c r="E835" s="176"/>
      <c r="F835" s="123"/>
      <c r="G835" s="123"/>
      <c r="H835" s="123"/>
      <c r="I835" s="123"/>
      <c r="J835" s="174"/>
      <c r="K835" s="182"/>
      <c r="L835" s="123"/>
      <c r="M835" s="123"/>
      <c r="N835" s="123"/>
      <c r="O835" s="123"/>
      <c r="P835" s="123"/>
      <c r="Q835" s="123"/>
      <c r="R835" s="123"/>
      <c r="S835" s="123"/>
      <c r="T835" s="123"/>
      <c r="U835" s="123"/>
      <c r="V835" s="123"/>
      <c r="W835" s="123"/>
      <c r="X835" s="123"/>
      <c r="Y835" s="123"/>
    </row>
    <row r="836" spans="1:25" ht="15.75" customHeight="1" x14ac:dyDescent="0.2">
      <c r="A836" s="182"/>
      <c r="B836" s="175"/>
      <c r="C836" s="176"/>
      <c r="D836" s="176"/>
      <c r="E836" s="176"/>
      <c r="F836" s="123"/>
      <c r="G836" s="123"/>
      <c r="H836" s="123"/>
      <c r="I836" s="123"/>
      <c r="J836" s="174"/>
      <c r="K836" s="182"/>
      <c r="L836" s="123"/>
      <c r="M836" s="123"/>
      <c r="N836" s="123"/>
      <c r="O836" s="123"/>
      <c r="P836" s="123"/>
      <c r="Q836" s="123"/>
      <c r="R836" s="123"/>
      <c r="S836" s="123"/>
      <c r="T836" s="123"/>
      <c r="U836" s="123"/>
      <c r="V836" s="123"/>
      <c r="W836" s="123"/>
      <c r="X836" s="123"/>
      <c r="Y836" s="123"/>
    </row>
    <row r="837" spans="1:25" ht="15.75" customHeight="1" x14ac:dyDescent="0.2">
      <c r="A837" s="182"/>
      <c r="B837" s="175"/>
      <c r="C837" s="176"/>
      <c r="D837" s="176"/>
      <c r="E837" s="176"/>
      <c r="F837" s="123"/>
      <c r="G837" s="123"/>
      <c r="H837" s="123"/>
      <c r="I837" s="123"/>
      <c r="J837" s="174"/>
      <c r="K837" s="182"/>
      <c r="L837" s="123"/>
      <c r="M837" s="123"/>
      <c r="N837" s="123"/>
      <c r="O837" s="123"/>
      <c r="P837" s="123"/>
      <c r="Q837" s="123"/>
      <c r="R837" s="123"/>
      <c r="S837" s="123"/>
      <c r="T837" s="123"/>
      <c r="U837" s="123"/>
      <c r="V837" s="123"/>
      <c r="W837" s="123"/>
      <c r="X837" s="123"/>
      <c r="Y837" s="123"/>
    </row>
    <row r="838" spans="1:25" ht="15.75" customHeight="1" x14ac:dyDescent="0.2">
      <c r="A838" s="182"/>
      <c r="B838" s="175"/>
      <c r="C838" s="176"/>
      <c r="D838" s="176"/>
      <c r="E838" s="176"/>
      <c r="F838" s="123"/>
      <c r="G838" s="123"/>
      <c r="H838" s="123"/>
      <c r="I838" s="123"/>
      <c r="J838" s="174"/>
      <c r="K838" s="182"/>
      <c r="L838" s="123"/>
      <c r="M838" s="123"/>
      <c r="N838" s="123"/>
      <c r="O838" s="123"/>
      <c r="P838" s="123"/>
      <c r="Q838" s="123"/>
      <c r="R838" s="123"/>
      <c r="S838" s="123"/>
      <c r="T838" s="123"/>
      <c r="U838" s="123"/>
      <c r="V838" s="123"/>
      <c r="W838" s="123"/>
      <c r="X838" s="123"/>
      <c r="Y838" s="123"/>
    </row>
    <row r="839" spans="1:25" ht="15.75" customHeight="1" x14ac:dyDescent="0.2">
      <c r="A839" s="182"/>
      <c r="B839" s="175"/>
      <c r="C839" s="176"/>
      <c r="D839" s="176"/>
      <c r="E839" s="176"/>
      <c r="F839" s="123"/>
      <c r="G839" s="123"/>
      <c r="H839" s="123"/>
      <c r="I839" s="123"/>
      <c r="J839" s="174"/>
      <c r="K839" s="182"/>
      <c r="L839" s="123"/>
      <c r="M839" s="123"/>
      <c r="N839" s="123"/>
      <c r="O839" s="123"/>
      <c r="P839" s="123"/>
      <c r="Q839" s="123"/>
      <c r="R839" s="123"/>
      <c r="S839" s="123"/>
      <c r="T839" s="123"/>
      <c r="U839" s="123"/>
      <c r="V839" s="123"/>
      <c r="W839" s="123"/>
      <c r="X839" s="123"/>
      <c r="Y839" s="123"/>
    </row>
    <row r="840" spans="1:25" ht="15.75" customHeight="1" x14ac:dyDescent="0.2">
      <c r="A840" s="182"/>
      <c r="B840" s="175"/>
      <c r="C840" s="176"/>
      <c r="D840" s="176"/>
      <c r="E840" s="176"/>
      <c r="F840" s="123"/>
      <c r="G840" s="123"/>
      <c r="H840" s="123"/>
      <c r="I840" s="123"/>
      <c r="J840" s="174"/>
      <c r="K840" s="182"/>
      <c r="L840" s="123"/>
      <c r="M840" s="123"/>
      <c r="N840" s="123"/>
      <c r="O840" s="123"/>
      <c r="P840" s="123"/>
      <c r="Q840" s="123"/>
      <c r="R840" s="123"/>
      <c r="S840" s="123"/>
      <c r="T840" s="123"/>
      <c r="U840" s="123"/>
      <c r="V840" s="123"/>
      <c r="W840" s="123"/>
      <c r="X840" s="123"/>
      <c r="Y840" s="123"/>
    </row>
    <row r="841" spans="1:25" ht="15.75" customHeight="1" x14ac:dyDescent="0.2">
      <c r="A841" s="182"/>
      <c r="B841" s="175"/>
      <c r="C841" s="176"/>
      <c r="D841" s="176"/>
      <c r="E841" s="176"/>
      <c r="F841" s="123"/>
      <c r="G841" s="123"/>
      <c r="H841" s="123"/>
      <c r="I841" s="123"/>
      <c r="J841" s="174"/>
      <c r="K841" s="182"/>
      <c r="L841" s="123"/>
      <c r="M841" s="123"/>
      <c r="N841" s="123"/>
      <c r="O841" s="123"/>
      <c r="P841" s="123"/>
      <c r="Q841" s="123"/>
      <c r="R841" s="123"/>
      <c r="S841" s="123"/>
      <c r="T841" s="123"/>
      <c r="U841" s="123"/>
      <c r="V841" s="123"/>
      <c r="W841" s="123"/>
      <c r="X841" s="123"/>
      <c r="Y841" s="123"/>
    </row>
    <row r="842" spans="1:25" ht="15.75" customHeight="1" x14ac:dyDescent="0.2">
      <c r="A842" s="182"/>
      <c r="B842" s="175"/>
      <c r="C842" s="176"/>
      <c r="D842" s="176"/>
      <c r="E842" s="176"/>
      <c r="F842" s="123"/>
      <c r="G842" s="123"/>
      <c r="H842" s="123"/>
      <c r="I842" s="123"/>
      <c r="J842" s="174"/>
      <c r="K842" s="182"/>
      <c r="L842" s="123"/>
      <c r="M842" s="123"/>
      <c r="N842" s="123"/>
      <c r="O842" s="123"/>
      <c r="P842" s="123"/>
      <c r="Q842" s="123"/>
      <c r="R842" s="123"/>
      <c r="S842" s="123"/>
      <c r="T842" s="123"/>
      <c r="U842" s="123"/>
      <c r="V842" s="123"/>
      <c r="W842" s="123"/>
      <c r="X842" s="123"/>
      <c r="Y842" s="123"/>
    </row>
    <row r="843" spans="1:25" ht="15.75" customHeight="1" x14ac:dyDescent="0.2">
      <c r="A843" s="182"/>
      <c r="B843" s="175"/>
      <c r="C843" s="176"/>
      <c r="D843" s="176"/>
      <c r="E843" s="176"/>
      <c r="F843" s="123"/>
      <c r="G843" s="123"/>
      <c r="H843" s="123"/>
      <c r="I843" s="123"/>
      <c r="J843" s="174"/>
      <c r="K843" s="182"/>
      <c r="L843" s="123"/>
      <c r="M843" s="123"/>
      <c r="N843" s="123"/>
      <c r="O843" s="123"/>
      <c r="P843" s="123"/>
      <c r="Q843" s="123"/>
      <c r="R843" s="123"/>
      <c r="S843" s="123"/>
      <c r="T843" s="123"/>
      <c r="U843" s="123"/>
      <c r="V843" s="123"/>
      <c r="W843" s="123"/>
      <c r="X843" s="123"/>
      <c r="Y843" s="123"/>
    </row>
    <row r="844" spans="1:25" ht="15.75" customHeight="1" x14ac:dyDescent="0.2">
      <c r="A844" s="182"/>
      <c r="B844" s="175"/>
      <c r="C844" s="176"/>
      <c r="D844" s="176"/>
      <c r="E844" s="176"/>
      <c r="F844" s="123"/>
      <c r="G844" s="123"/>
      <c r="H844" s="123"/>
      <c r="I844" s="123"/>
      <c r="J844" s="174"/>
      <c r="K844" s="182"/>
      <c r="L844" s="123"/>
      <c r="M844" s="123"/>
      <c r="N844" s="123"/>
      <c r="O844" s="123"/>
      <c r="P844" s="123"/>
      <c r="Q844" s="123"/>
      <c r="R844" s="123"/>
      <c r="S844" s="123"/>
      <c r="T844" s="123"/>
      <c r="U844" s="123"/>
      <c r="V844" s="123"/>
      <c r="W844" s="123"/>
      <c r="X844" s="123"/>
      <c r="Y844" s="123"/>
    </row>
    <row r="845" spans="1:25" ht="15.75" customHeight="1" x14ac:dyDescent="0.2">
      <c r="A845" s="182"/>
      <c r="B845" s="175"/>
      <c r="C845" s="176"/>
      <c r="D845" s="176"/>
      <c r="E845" s="176"/>
      <c r="F845" s="123"/>
      <c r="G845" s="123"/>
      <c r="H845" s="123"/>
      <c r="I845" s="123"/>
      <c r="J845" s="174"/>
      <c r="K845" s="182"/>
      <c r="L845" s="123"/>
      <c r="M845" s="123"/>
      <c r="N845" s="123"/>
      <c r="O845" s="123"/>
      <c r="P845" s="123"/>
      <c r="Q845" s="123"/>
      <c r="R845" s="123"/>
      <c r="S845" s="123"/>
      <c r="T845" s="123"/>
      <c r="U845" s="123"/>
      <c r="V845" s="123"/>
      <c r="W845" s="123"/>
      <c r="X845" s="123"/>
      <c r="Y845" s="123"/>
    </row>
    <row r="846" spans="1:25" ht="15.75" customHeight="1" x14ac:dyDescent="0.2">
      <c r="A846" s="182"/>
      <c r="B846" s="175"/>
      <c r="C846" s="176"/>
      <c r="D846" s="176"/>
      <c r="E846" s="176"/>
      <c r="F846" s="123"/>
      <c r="G846" s="123"/>
      <c r="H846" s="123"/>
      <c r="I846" s="123"/>
      <c r="J846" s="174"/>
      <c r="K846" s="182"/>
      <c r="L846" s="123"/>
      <c r="M846" s="123"/>
      <c r="N846" s="123"/>
      <c r="O846" s="123"/>
      <c r="P846" s="123"/>
      <c r="Q846" s="123"/>
      <c r="R846" s="123"/>
      <c r="S846" s="123"/>
      <c r="T846" s="123"/>
      <c r="U846" s="123"/>
      <c r="V846" s="123"/>
      <c r="W846" s="123"/>
      <c r="X846" s="123"/>
      <c r="Y846" s="123"/>
    </row>
    <row r="847" spans="1:25" ht="15.75" customHeight="1" x14ac:dyDescent="0.2">
      <c r="A847" s="182"/>
      <c r="B847" s="175"/>
      <c r="C847" s="176"/>
      <c r="D847" s="176"/>
      <c r="E847" s="176"/>
      <c r="F847" s="123"/>
      <c r="G847" s="123"/>
      <c r="H847" s="123"/>
      <c r="I847" s="123"/>
      <c r="J847" s="174"/>
      <c r="K847" s="182"/>
      <c r="L847" s="123"/>
      <c r="M847" s="123"/>
      <c r="N847" s="123"/>
      <c r="O847" s="123"/>
      <c r="P847" s="123"/>
      <c r="Q847" s="123"/>
      <c r="R847" s="123"/>
      <c r="S847" s="123"/>
      <c r="T847" s="123"/>
      <c r="U847" s="123"/>
      <c r="V847" s="123"/>
      <c r="W847" s="123"/>
      <c r="X847" s="123"/>
      <c r="Y847" s="123"/>
    </row>
    <row r="848" spans="1:25" ht="15.75" customHeight="1" x14ac:dyDescent="0.2">
      <c r="A848" s="182"/>
      <c r="B848" s="175"/>
      <c r="C848" s="176"/>
      <c r="D848" s="176"/>
      <c r="E848" s="176"/>
      <c r="F848" s="123"/>
      <c r="G848" s="123"/>
      <c r="H848" s="123"/>
      <c r="I848" s="123"/>
      <c r="J848" s="174"/>
      <c r="K848" s="182"/>
      <c r="L848" s="123"/>
      <c r="M848" s="123"/>
      <c r="N848" s="123"/>
      <c r="O848" s="123"/>
      <c r="P848" s="123"/>
      <c r="Q848" s="123"/>
      <c r="R848" s="123"/>
      <c r="S848" s="123"/>
      <c r="T848" s="123"/>
      <c r="U848" s="123"/>
      <c r="V848" s="123"/>
      <c r="W848" s="123"/>
      <c r="X848" s="123"/>
      <c r="Y848" s="123"/>
    </row>
    <row r="849" spans="1:25" ht="15.75" customHeight="1" x14ac:dyDescent="0.2">
      <c r="A849" s="182"/>
      <c r="B849" s="175"/>
      <c r="C849" s="176"/>
      <c r="D849" s="176"/>
      <c r="E849" s="176"/>
      <c r="F849" s="123"/>
      <c r="G849" s="123"/>
      <c r="H849" s="123"/>
      <c r="I849" s="123"/>
      <c r="J849" s="174"/>
      <c r="K849" s="182"/>
      <c r="L849" s="123"/>
      <c r="M849" s="123"/>
      <c r="N849" s="123"/>
      <c r="O849" s="123"/>
      <c r="P849" s="123"/>
      <c r="Q849" s="123"/>
      <c r="R849" s="123"/>
      <c r="S849" s="123"/>
      <c r="T849" s="123"/>
      <c r="U849" s="123"/>
      <c r="V849" s="123"/>
      <c r="W849" s="123"/>
      <c r="X849" s="123"/>
      <c r="Y849" s="123"/>
    </row>
    <row r="850" spans="1:25" ht="15.75" customHeight="1" x14ac:dyDescent="0.2">
      <c r="A850" s="182"/>
      <c r="B850" s="175"/>
      <c r="C850" s="176"/>
      <c r="D850" s="176"/>
      <c r="E850" s="176"/>
      <c r="F850" s="123"/>
      <c r="G850" s="123"/>
      <c r="H850" s="123"/>
      <c r="I850" s="123"/>
      <c r="J850" s="174"/>
      <c r="K850" s="182"/>
      <c r="L850" s="123"/>
      <c r="M850" s="123"/>
      <c r="N850" s="123"/>
      <c r="O850" s="123"/>
      <c r="P850" s="123"/>
      <c r="Q850" s="123"/>
      <c r="R850" s="123"/>
      <c r="S850" s="123"/>
      <c r="T850" s="123"/>
      <c r="U850" s="123"/>
      <c r="V850" s="123"/>
      <c r="W850" s="123"/>
      <c r="X850" s="123"/>
      <c r="Y850" s="123"/>
    </row>
    <row r="851" spans="1:25" ht="15.75" customHeight="1" x14ac:dyDescent="0.2">
      <c r="A851" s="182"/>
      <c r="B851" s="175"/>
      <c r="C851" s="176"/>
      <c r="D851" s="176"/>
      <c r="E851" s="176"/>
      <c r="F851" s="123"/>
      <c r="G851" s="123"/>
      <c r="H851" s="123"/>
      <c r="I851" s="123"/>
      <c r="J851" s="174"/>
      <c r="K851" s="182"/>
      <c r="L851" s="123"/>
      <c r="M851" s="123"/>
      <c r="N851" s="123"/>
      <c r="O851" s="123"/>
      <c r="P851" s="123"/>
      <c r="Q851" s="123"/>
      <c r="R851" s="123"/>
      <c r="S851" s="123"/>
      <c r="T851" s="123"/>
      <c r="U851" s="123"/>
      <c r="V851" s="123"/>
      <c r="W851" s="123"/>
      <c r="X851" s="123"/>
      <c r="Y851" s="123"/>
    </row>
    <row r="852" spans="1:25" ht="15.75" customHeight="1" x14ac:dyDescent="0.2">
      <c r="A852" s="182"/>
      <c r="B852" s="175"/>
      <c r="C852" s="176"/>
      <c r="D852" s="176"/>
      <c r="E852" s="176"/>
      <c r="F852" s="123"/>
      <c r="G852" s="123"/>
      <c r="H852" s="123"/>
      <c r="I852" s="123"/>
      <c r="J852" s="174"/>
      <c r="K852" s="182"/>
      <c r="L852" s="123"/>
      <c r="M852" s="123"/>
      <c r="N852" s="123"/>
      <c r="O852" s="123"/>
      <c r="P852" s="123"/>
      <c r="Q852" s="123"/>
      <c r="R852" s="123"/>
      <c r="S852" s="123"/>
      <c r="T852" s="123"/>
      <c r="U852" s="123"/>
      <c r="V852" s="123"/>
      <c r="W852" s="123"/>
      <c r="X852" s="123"/>
      <c r="Y852" s="123"/>
    </row>
    <row r="853" spans="1:25" ht="15.75" customHeight="1" x14ac:dyDescent="0.2">
      <c r="A853" s="182"/>
      <c r="B853" s="175"/>
      <c r="C853" s="176"/>
      <c r="D853" s="176"/>
      <c r="E853" s="176"/>
      <c r="F853" s="123"/>
      <c r="G853" s="123"/>
      <c r="H853" s="123"/>
      <c r="I853" s="123"/>
      <c r="J853" s="174"/>
      <c r="K853" s="182"/>
      <c r="L853" s="123"/>
      <c r="M853" s="123"/>
      <c r="N853" s="123"/>
      <c r="O853" s="123"/>
      <c r="P853" s="123"/>
      <c r="Q853" s="123"/>
      <c r="R853" s="123"/>
      <c r="S853" s="123"/>
      <c r="T853" s="123"/>
      <c r="U853" s="123"/>
      <c r="V853" s="123"/>
      <c r="W853" s="123"/>
      <c r="X853" s="123"/>
      <c r="Y853" s="123"/>
    </row>
    <row r="854" spans="1:25" ht="15.75" customHeight="1" x14ac:dyDescent="0.2">
      <c r="A854" s="182"/>
      <c r="B854" s="175"/>
      <c r="C854" s="176"/>
      <c r="D854" s="176"/>
      <c r="E854" s="176"/>
      <c r="F854" s="123"/>
      <c r="G854" s="123"/>
      <c r="H854" s="123"/>
      <c r="I854" s="123"/>
      <c r="J854" s="174"/>
      <c r="K854" s="182"/>
      <c r="L854" s="123"/>
      <c r="M854" s="123"/>
      <c r="N854" s="123"/>
      <c r="O854" s="123"/>
      <c r="P854" s="123"/>
      <c r="Q854" s="123"/>
      <c r="R854" s="123"/>
      <c r="S854" s="123"/>
      <c r="T854" s="123"/>
      <c r="U854" s="123"/>
      <c r="V854" s="123"/>
      <c r="W854" s="123"/>
      <c r="X854" s="123"/>
      <c r="Y854" s="123"/>
    </row>
    <row r="855" spans="1:25" ht="15.75" customHeight="1" x14ac:dyDescent="0.2">
      <c r="A855" s="182"/>
      <c r="B855" s="175"/>
      <c r="C855" s="176"/>
      <c r="D855" s="176"/>
      <c r="E855" s="176"/>
      <c r="F855" s="123"/>
      <c r="G855" s="123"/>
      <c r="H855" s="123"/>
      <c r="I855" s="123"/>
      <c r="J855" s="174"/>
      <c r="K855" s="182"/>
      <c r="L855" s="123"/>
      <c r="M855" s="123"/>
      <c r="N855" s="123"/>
      <c r="O855" s="123"/>
      <c r="P855" s="123"/>
      <c r="Q855" s="123"/>
      <c r="R855" s="123"/>
      <c r="S855" s="123"/>
      <c r="T855" s="123"/>
      <c r="U855" s="123"/>
      <c r="V855" s="123"/>
      <c r="W855" s="123"/>
      <c r="X855" s="123"/>
      <c r="Y855" s="123"/>
    </row>
    <row r="856" spans="1:25" ht="15.75" customHeight="1" x14ac:dyDescent="0.2">
      <c r="A856" s="182"/>
      <c r="B856" s="175"/>
      <c r="C856" s="176"/>
      <c r="D856" s="176"/>
      <c r="E856" s="176"/>
      <c r="F856" s="123"/>
      <c r="G856" s="123"/>
      <c r="H856" s="123"/>
      <c r="I856" s="123"/>
      <c r="J856" s="174"/>
      <c r="K856" s="182"/>
      <c r="L856" s="123"/>
      <c r="M856" s="123"/>
      <c r="N856" s="123"/>
      <c r="O856" s="123"/>
      <c r="P856" s="123"/>
      <c r="Q856" s="123"/>
      <c r="R856" s="123"/>
      <c r="S856" s="123"/>
      <c r="T856" s="123"/>
      <c r="U856" s="123"/>
      <c r="V856" s="123"/>
      <c r="W856" s="123"/>
      <c r="X856" s="123"/>
      <c r="Y856" s="123"/>
    </row>
    <row r="857" spans="1:25" ht="15.75" customHeight="1" x14ac:dyDescent="0.2">
      <c r="A857" s="182"/>
      <c r="B857" s="175"/>
      <c r="C857" s="176"/>
      <c r="D857" s="176"/>
      <c r="E857" s="176"/>
      <c r="F857" s="123"/>
      <c r="G857" s="123"/>
      <c r="H857" s="123"/>
      <c r="I857" s="123"/>
      <c r="J857" s="174"/>
      <c r="K857" s="182"/>
      <c r="L857" s="123"/>
      <c r="M857" s="123"/>
      <c r="N857" s="123"/>
      <c r="O857" s="123"/>
      <c r="P857" s="123"/>
      <c r="Q857" s="123"/>
      <c r="R857" s="123"/>
      <c r="S857" s="123"/>
      <c r="T857" s="123"/>
      <c r="U857" s="123"/>
      <c r="V857" s="123"/>
      <c r="W857" s="123"/>
      <c r="X857" s="123"/>
      <c r="Y857" s="123"/>
    </row>
    <row r="858" spans="1:25" ht="15.75" customHeight="1" x14ac:dyDescent="0.2">
      <c r="A858" s="182"/>
      <c r="B858" s="175"/>
      <c r="C858" s="176"/>
      <c r="D858" s="176"/>
      <c r="E858" s="176"/>
      <c r="F858" s="123"/>
      <c r="G858" s="123"/>
      <c r="H858" s="123"/>
      <c r="I858" s="123"/>
      <c r="J858" s="174"/>
      <c r="K858" s="182"/>
      <c r="L858" s="123"/>
      <c r="M858" s="123"/>
      <c r="N858" s="123"/>
      <c r="O858" s="123"/>
      <c r="P858" s="123"/>
      <c r="Q858" s="123"/>
      <c r="R858" s="123"/>
      <c r="S858" s="123"/>
      <c r="T858" s="123"/>
      <c r="U858" s="123"/>
      <c r="V858" s="123"/>
      <c r="W858" s="123"/>
      <c r="X858" s="123"/>
      <c r="Y858" s="123"/>
    </row>
    <row r="859" spans="1:25" ht="15.75" customHeight="1" x14ac:dyDescent="0.2">
      <c r="A859" s="182"/>
      <c r="B859" s="175"/>
      <c r="C859" s="176"/>
      <c r="D859" s="176"/>
      <c r="E859" s="176"/>
      <c r="F859" s="123"/>
      <c r="G859" s="123"/>
      <c r="H859" s="123"/>
      <c r="I859" s="123"/>
      <c r="J859" s="174"/>
      <c r="K859" s="182"/>
      <c r="L859" s="123"/>
      <c r="M859" s="123"/>
      <c r="N859" s="123"/>
      <c r="O859" s="123"/>
      <c r="P859" s="123"/>
      <c r="Q859" s="123"/>
      <c r="R859" s="123"/>
      <c r="S859" s="123"/>
      <c r="T859" s="123"/>
      <c r="U859" s="123"/>
      <c r="V859" s="123"/>
      <c r="W859" s="123"/>
      <c r="X859" s="123"/>
      <c r="Y859" s="123"/>
    </row>
    <row r="860" spans="1:25" ht="15.75" customHeight="1" x14ac:dyDescent="0.2">
      <c r="A860" s="182"/>
      <c r="B860" s="175"/>
      <c r="C860" s="176"/>
      <c r="D860" s="176"/>
      <c r="E860" s="176"/>
      <c r="F860" s="123"/>
      <c r="G860" s="123"/>
      <c r="H860" s="123"/>
      <c r="I860" s="123"/>
      <c r="J860" s="174"/>
      <c r="K860" s="182"/>
      <c r="L860" s="123"/>
      <c r="M860" s="123"/>
      <c r="N860" s="123"/>
      <c r="O860" s="123"/>
      <c r="P860" s="123"/>
      <c r="Q860" s="123"/>
      <c r="R860" s="123"/>
      <c r="S860" s="123"/>
      <c r="T860" s="123"/>
      <c r="U860" s="123"/>
      <c r="V860" s="123"/>
      <c r="W860" s="123"/>
      <c r="X860" s="123"/>
      <c r="Y860" s="123"/>
    </row>
    <row r="861" spans="1:25" ht="15.75" customHeight="1" x14ac:dyDescent="0.2">
      <c r="A861" s="182"/>
      <c r="B861" s="175"/>
      <c r="C861" s="176"/>
      <c r="D861" s="176"/>
      <c r="E861" s="176"/>
      <c r="F861" s="123"/>
      <c r="G861" s="123"/>
      <c r="H861" s="123"/>
      <c r="I861" s="123"/>
      <c r="J861" s="174"/>
      <c r="K861" s="182"/>
      <c r="L861" s="123"/>
      <c r="M861" s="123"/>
      <c r="N861" s="123"/>
      <c r="O861" s="123"/>
      <c r="P861" s="123"/>
      <c r="Q861" s="123"/>
      <c r="R861" s="123"/>
      <c r="S861" s="123"/>
      <c r="T861" s="123"/>
      <c r="U861" s="123"/>
      <c r="V861" s="123"/>
      <c r="W861" s="123"/>
      <c r="X861" s="123"/>
      <c r="Y861" s="123"/>
    </row>
    <row r="862" spans="1:25" ht="15.75" customHeight="1" x14ac:dyDescent="0.2">
      <c r="A862" s="182"/>
      <c r="B862" s="175"/>
      <c r="C862" s="176"/>
      <c r="D862" s="176"/>
      <c r="E862" s="176"/>
      <c r="F862" s="123"/>
      <c r="G862" s="123"/>
      <c r="H862" s="123"/>
      <c r="I862" s="123"/>
      <c r="J862" s="174"/>
      <c r="K862" s="182"/>
      <c r="L862" s="123"/>
      <c r="M862" s="123"/>
      <c r="N862" s="123"/>
      <c r="O862" s="123"/>
      <c r="P862" s="123"/>
      <c r="Q862" s="123"/>
      <c r="R862" s="123"/>
      <c r="S862" s="123"/>
      <c r="T862" s="123"/>
      <c r="U862" s="123"/>
      <c r="V862" s="123"/>
      <c r="W862" s="123"/>
      <c r="X862" s="123"/>
      <c r="Y862" s="123"/>
    </row>
    <row r="863" spans="1:25" ht="15.75" customHeight="1" x14ac:dyDescent="0.2">
      <c r="A863" s="182"/>
      <c r="B863" s="175"/>
      <c r="C863" s="176"/>
      <c r="D863" s="176"/>
      <c r="E863" s="176"/>
      <c r="F863" s="123"/>
      <c r="G863" s="123"/>
      <c r="H863" s="123"/>
      <c r="I863" s="123"/>
      <c r="J863" s="174"/>
      <c r="K863" s="182"/>
      <c r="L863" s="123"/>
      <c r="M863" s="123"/>
      <c r="N863" s="123"/>
      <c r="O863" s="123"/>
      <c r="P863" s="123"/>
      <c r="Q863" s="123"/>
      <c r="R863" s="123"/>
      <c r="S863" s="123"/>
      <c r="T863" s="123"/>
      <c r="U863" s="123"/>
      <c r="V863" s="123"/>
      <c r="W863" s="123"/>
      <c r="X863" s="123"/>
      <c r="Y863" s="123"/>
    </row>
    <row r="864" spans="1:25" ht="15.75" customHeight="1" x14ac:dyDescent="0.2">
      <c r="A864" s="182"/>
      <c r="B864" s="175"/>
      <c r="C864" s="176"/>
      <c r="D864" s="176"/>
      <c r="E864" s="176"/>
      <c r="F864" s="123"/>
      <c r="G864" s="123"/>
      <c r="H864" s="123"/>
      <c r="I864" s="123"/>
      <c r="J864" s="174"/>
      <c r="K864" s="182"/>
      <c r="L864" s="123"/>
      <c r="M864" s="123"/>
      <c r="N864" s="123"/>
      <c r="O864" s="123"/>
      <c r="P864" s="123"/>
      <c r="Q864" s="123"/>
      <c r="R864" s="123"/>
      <c r="S864" s="123"/>
      <c r="T864" s="123"/>
      <c r="U864" s="123"/>
      <c r="V864" s="123"/>
      <c r="W864" s="123"/>
      <c r="X864" s="123"/>
      <c r="Y864" s="123"/>
    </row>
    <row r="865" spans="1:25" ht="15.75" customHeight="1" x14ac:dyDescent="0.2">
      <c r="A865" s="182"/>
      <c r="B865" s="175"/>
      <c r="C865" s="176"/>
      <c r="D865" s="176"/>
      <c r="E865" s="176"/>
      <c r="F865" s="123"/>
      <c r="G865" s="123"/>
      <c r="H865" s="123"/>
      <c r="I865" s="123"/>
      <c r="J865" s="174"/>
      <c r="K865" s="182"/>
      <c r="L865" s="123"/>
      <c r="M865" s="123"/>
      <c r="N865" s="123"/>
      <c r="O865" s="123"/>
      <c r="P865" s="123"/>
      <c r="Q865" s="123"/>
      <c r="R865" s="123"/>
      <c r="S865" s="123"/>
      <c r="T865" s="123"/>
      <c r="U865" s="123"/>
      <c r="V865" s="123"/>
      <c r="W865" s="123"/>
      <c r="X865" s="123"/>
      <c r="Y865" s="123"/>
    </row>
    <row r="866" spans="1:25" ht="15.75" customHeight="1" x14ac:dyDescent="0.2">
      <c r="A866" s="182"/>
      <c r="B866" s="175"/>
      <c r="C866" s="176"/>
      <c r="D866" s="176"/>
      <c r="E866" s="176"/>
      <c r="F866" s="123"/>
      <c r="G866" s="123"/>
      <c r="H866" s="123"/>
      <c r="I866" s="123"/>
      <c r="J866" s="174"/>
      <c r="K866" s="182"/>
      <c r="L866" s="123"/>
      <c r="M866" s="123"/>
      <c r="N866" s="123"/>
      <c r="O866" s="123"/>
      <c r="P866" s="123"/>
      <c r="Q866" s="123"/>
      <c r="R866" s="123"/>
      <c r="S866" s="123"/>
      <c r="T866" s="123"/>
      <c r="U866" s="123"/>
      <c r="V866" s="123"/>
      <c r="W866" s="123"/>
      <c r="X866" s="123"/>
      <c r="Y866" s="123"/>
    </row>
    <row r="867" spans="1:25" ht="15.75" customHeight="1" x14ac:dyDescent="0.2">
      <c r="A867" s="182"/>
      <c r="B867" s="175"/>
      <c r="C867" s="176"/>
      <c r="D867" s="176"/>
      <c r="E867" s="176"/>
      <c r="F867" s="123"/>
      <c r="G867" s="123"/>
      <c r="H867" s="123"/>
      <c r="I867" s="123"/>
      <c r="J867" s="174"/>
      <c r="K867" s="182"/>
      <c r="L867" s="123"/>
      <c r="M867" s="123"/>
      <c r="N867" s="123"/>
      <c r="O867" s="123"/>
      <c r="P867" s="123"/>
      <c r="Q867" s="123"/>
      <c r="R867" s="123"/>
      <c r="S867" s="123"/>
      <c r="T867" s="123"/>
      <c r="U867" s="123"/>
      <c r="V867" s="123"/>
      <c r="W867" s="123"/>
      <c r="X867" s="123"/>
      <c r="Y867" s="123"/>
    </row>
    <row r="868" spans="1:25" ht="15.75" customHeight="1" x14ac:dyDescent="0.2">
      <c r="A868" s="182"/>
      <c r="B868" s="175"/>
      <c r="C868" s="176"/>
      <c r="D868" s="176"/>
      <c r="E868" s="176"/>
      <c r="F868" s="123"/>
      <c r="G868" s="123"/>
      <c r="H868" s="123"/>
      <c r="I868" s="123"/>
      <c r="J868" s="174"/>
      <c r="K868" s="182"/>
      <c r="L868" s="123"/>
      <c r="M868" s="123"/>
      <c r="N868" s="123"/>
      <c r="O868" s="123"/>
      <c r="P868" s="123"/>
      <c r="Q868" s="123"/>
      <c r="R868" s="123"/>
      <c r="S868" s="123"/>
      <c r="T868" s="123"/>
      <c r="U868" s="123"/>
      <c r="V868" s="123"/>
      <c r="W868" s="123"/>
      <c r="X868" s="123"/>
      <c r="Y868" s="123"/>
    </row>
    <row r="869" spans="1:25" ht="15.75" customHeight="1" x14ac:dyDescent="0.2">
      <c r="A869" s="182"/>
      <c r="B869" s="175"/>
      <c r="C869" s="176"/>
      <c r="D869" s="176"/>
      <c r="E869" s="176"/>
      <c r="F869" s="123"/>
      <c r="G869" s="123"/>
      <c r="H869" s="123"/>
      <c r="I869" s="123"/>
      <c r="J869" s="174"/>
      <c r="K869" s="182"/>
      <c r="L869" s="123"/>
      <c r="M869" s="123"/>
      <c r="N869" s="123"/>
      <c r="O869" s="123"/>
      <c r="P869" s="123"/>
      <c r="Q869" s="123"/>
      <c r="R869" s="123"/>
      <c r="S869" s="123"/>
      <c r="T869" s="123"/>
      <c r="U869" s="123"/>
      <c r="V869" s="123"/>
      <c r="W869" s="123"/>
      <c r="X869" s="123"/>
      <c r="Y869" s="123"/>
    </row>
    <row r="870" spans="1:25" ht="15.75" customHeight="1" x14ac:dyDescent="0.2">
      <c r="A870" s="182"/>
      <c r="B870" s="175"/>
      <c r="C870" s="176"/>
      <c r="D870" s="176"/>
      <c r="E870" s="176"/>
      <c r="F870" s="123"/>
      <c r="G870" s="123"/>
      <c r="H870" s="123"/>
      <c r="I870" s="123"/>
      <c r="J870" s="174"/>
      <c r="K870" s="182"/>
      <c r="L870" s="123"/>
      <c r="M870" s="123"/>
      <c r="N870" s="123"/>
      <c r="O870" s="123"/>
      <c r="P870" s="123"/>
      <c r="Q870" s="123"/>
      <c r="R870" s="123"/>
      <c r="S870" s="123"/>
      <c r="T870" s="123"/>
      <c r="U870" s="123"/>
      <c r="V870" s="123"/>
      <c r="W870" s="123"/>
      <c r="X870" s="123"/>
      <c r="Y870" s="123"/>
    </row>
    <row r="871" spans="1:25" ht="15.75" customHeight="1" x14ac:dyDescent="0.2">
      <c r="A871" s="182"/>
      <c r="B871" s="175"/>
      <c r="C871" s="176"/>
      <c r="D871" s="176"/>
      <c r="E871" s="176"/>
      <c r="F871" s="123"/>
      <c r="G871" s="123"/>
      <c r="H871" s="123"/>
      <c r="I871" s="123"/>
      <c r="J871" s="174"/>
      <c r="K871" s="182"/>
      <c r="L871" s="123"/>
      <c r="M871" s="123"/>
      <c r="N871" s="123"/>
      <c r="O871" s="123"/>
      <c r="P871" s="123"/>
      <c r="Q871" s="123"/>
      <c r="R871" s="123"/>
      <c r="S871" s="123"/>
      <c r="T871" s="123"/>
      <c r="U871" s="123"/>
      <c r="V871" s="123"/>
      <c r="W871" s="123"/>
      <c r="X871" s="123"/>
      <c r="Y871" s="123"/>
    </row>
    <row r="872" spans="1:25" ht="15.75" customHeight="1" x14ac:dyDescent="0.2">
      <c r="A872" s="182"/>
      <c r="B872" s="175"/>
      <c r="C872" s="176"/>
      <c r="D872" s="176"/>
      <c r="E872" s="176"/>
      <c r="F872" s="123"/>
      <c r="G872" s="123"/>
      <c r="H872" s="123"/>
      <c r="I872" s="123"/>
      <c r="J872" s="174"/>
      <c r="K872" s="182"/>
      <c r="L872" s="123"/>
      <c r="M872" s="123"/>
      <c r="N872" s="123"/>
      <c r="O872" s="123"/>
      <c r="P872" s="123"/>
      <c r="Q872" s="123"/>
      <c r="R872" s="123"/>
      <c r="S872" s="123"/>
      <c r="T872" s="123"/>
      <c r="U872" s="123"/>
      <c r="V872" s="123"/>
      <c r="W872" s="123"/>
      <c r="X872" s="123"/>
      <c r="Y872" s="123"/>
    </row>
    <row r="873" spans="1:25" ht="15.75" customHeight="1" x14ac:dyDescent="0.2">
      <c r="A873" s="182"/>
      <c r="B873" s="175"/>
      <c r="C873" s="176"/>
      <c r="D873" s="176"/>
      <c r="E873" s="176"/>
      <c r="F873" s="123"/>
      <c r="G873" s="123"/>
      <c r="H873" s="123"/>
      <c r="I873" s="123"/>
      <c r="J873" s="174"/>
      <c r="K873" s="182"/>
      <c r="L873" s="123"/>
      <c r="M873" s="123"/>
      <c r="N873" s="123"/>
      <c r="O873" s="123"/>
      <c r="P873" s="123"/>
      <c r="Q873" s="123"/>
      <c r="R873" s="123"/>
      <c r="S873" s="123"/>
      <c r="T873" s="123"/>
      <c r="U873" s="123"/>
      <c r="V873" s="123"/>
      <c r="W873" s="123"/>
      <c r="X873" s="123"/>
      <c r="Y873" s="123"/>
    </row>
    <row r="874" spans="1:25" ht="15.75" customHeight="1" x14ac:dyDescent="0.2">
      <c r="A874" s="182"/>
      <c r="B874" s="175"/>
      <c r="C874" s="176"/>
      <c r="D874" s="176"/>
      <c r="E874" s="176"/>
      <c r="F874" s="123"/>
      <c r="G874" s="123"/>
      <c r="H874" s="123"/>
      <c r="I874" s="123"/>
      <c r="J874" s="174"/>
      <c r="K874" s="182"/>
      <c r="L874" s="123"/>
      <c r="M874" s="123"/>
      <c r="N874" s="123"/>
      <c r="O874" s="123"/>
      <c r="P874" s="123"/>
      <c r="Q874" s="123"/>
      <c r="R874" s="123"/>
      <c r="S874" s="123"/>
      <c r="T874" s="123"/>
      <c r="U874" s="123"/>
      <c r="V874" s="123"/>
      <c r="W874" s="123"/>
      <c r="X874" s="123"/>
      <c r="Y874" s="123"/>
    </row>
    <row r="875" spans="1:25" ht="15.75" customHeight="1" x14ac:dyDescent="0.2">
      <c r="A875" s="182"/>
      <c r="B875" s="175"/>
      <c r="C875" s="176"/>
      <c r="D875" s="176"/>
      <c r="E875" s="176"/>
      <c r="F875" s="123"/>
      <c r="G875" s="123"/>
      <c r="H875" s="123"/>
      <c r="I875" s="123"/>
      <c r="J875" s="174"/>
      <c r="K875" s="182"/>
      <c r="L875" s="123"/>
      <c r="M875" s="123"/>
      <c r="N875" s="123"/>
      <c r="O875" s="123"/>
      <c r="P875" s="123"/>
      <c r="Q875" s="123"/>
      <c r="R875" s="123"/>
      <c r="S875" s="123"/>
      <c r="T875" s="123"/>
      <c r="U875" s="123"/>
      <c r="V875" s="123"/>
      <c r="W875" s="123"/>
      <c r="X875" s="123"/>
      <c r="Y875" s="123"/>
    </row>
    <row r="876" spans="1:25" ht="15.75" customHeight="1" x14ac:dyDescent="0.2">
      <c r="A876" s="182"/>
      <c r="B876" s="175"/>
      <c r="C876" s="176"/>
      <c r="D876" s="176"/>
      <c r="E876" s="176"/>
      <c r="F876" s="123"/>
      <c r="G876" s="123"/>
      <c r="H876" s="123"/>
      <c r="I876" s="123"/>
      <c r="J876" s="174"/>
      <c r="K876" s="182"/>
      <c r="L876" s="123"/>
      <c r="M876" s="123"/>
      <c r="N876" s="123"/>
      <c r="O876" s="123"/>
      <c r="P876" s="123"/>
      <c r="Q876" s="123"/>
      <c r="R876" s="123"/>
      <c r="S876" s="123"/>
      <c r="T876" s="123"/>
      <c r="U876" s="123"/>
      <c r="V876" s="123"/>
      <c r="W876" s="123"/>
      <c r="X876" s="123"/>
      <c r="Y876" s="123"/>
    </row>
    <row r="877" spans="1:25" ht="15.75" customHeight="1" x14ac:dyDescent="0.2">
      <c r="A877" s="182"/>
      <c r="B877" s="175"/>
      <c r="C877" s="176"/>
      <c r="D877" s="176"/>
      <c r="E877" s="176"/>
      <c r="F877" s="123"/>
      <c r="G877" s="123"/>
      <c r="H877" s="123"/>
      <c r="I877" s="123"/>
      <c r="J877" s="174"/>
      <c r="K877" s="182"/>
      <c r="L877" s="123"/>
      <c r="M877" s="123"/>
      <c r="N877" s="123"/>
      <c r="O877" s="123"/>
      <c r="P877" s="123"/>
      <c r="Q877" s="123"/>
      <c r="R877" s="123"/>
      <c r="S877" s="123"/>
      <c r="T877" s="123"/>
      <c r="U877" s="123"/>
      <c r="V877" s="123"/>
      <c r="W877" s="123"/>
      <c r="X877" s="123"/>
      <c r="Y877" s="123"/>
    </row>
    <row r="878" spans="1:25" ht="15.75" customHeight="1" x14ac:dyDescent="0.2">
      <c r="A878" s="182"/>
      <c r="B878" s="175"/>
      <c r="C878" s="176"/>
      <c r="D878" s="176"/>
      <c r="E878" s="176"/>
      <c r="F878" s="123"/>
      <c r="G878" s="123"/>
      <c r="H878" s="123"/>
      <c r="I878" s="123"/>
      <c r="J878" s="174"/>
      <c r="K878" s="182"/>
      <c r="L878" s="123"/>
      <c r="M878" s="123"/>
      <c r="N878" s="123"/>
      <c r="O878" s="123"/>
      <c r="P878" s="123"/>
      <c r="Q878" s="123"/>
      <c r="R878" s="123"/>
      <c r="S878" s="123"/>
      <c r="T878" s="123"/>
      <c r="U878" s="123"/>
      <c r="V878" s="123"/>
      <c r="W878" s="123"/>
      <c r="X878" s="123"/>
      <c r="Y878" s="123"/>
    </row>
    <row r="879" spans="1:25" ht="15.75" customHeight="1" x14ac:dyDescent="0.2">
      <c r="A879" s="182"/>
      <c r="B879" s="175"/>
      <c r="C879" s="176"/>
      <c r="D879" s="176"/>
      <c r="E879" s="176"/>
      <c r="F879" s="123"/>
      <c r="G879" s="123"/>
      <c r="H879" s="123"/>
      <c r="I879" s="123"/>
      <c r="J879" s="174"/>
      <c r="K879" s="182"/>
      <c r="L879" s="123"/>
      <c r="M879" s="123"/>
      <c r="N879" s="123"/>
      <c r="O879" s="123"/>
      <c r="P879" s="123"/>
      <c r="Q879" s="123"/>
      <c r="R879" s="123"/>
      <c r="S879" s="123"/>
      <c r="T879" s="123"/>
      <c r="U879" s="123"/>
      <c r="V879" s="123"/>
      <c r="W879" s="123"/>
      <c r="X879" s="123"/>
      <c r="Y879" s="123"/>
    </row>
    <row r="880" spans="1:25" ht="15.75" customHeight="1" x14ac:dyDescent="0.2">
      <c r="A880" s="182"/>
      <c r="B880" s="175"/>
      <c r="C880" s="176"/>
      <c r="D880" s="176"/>
      <c r="E880" s="176"/>
      <c r="F880" s="123"/>
      <c r="G880" s="123"/>
      <c r="H880" s="123"/>
      <c r="I880" s="123"/>
      <c r="J880" s="174"/>
      <c r="K880" s="182"/>
      <c r="L880" s="123"/>
      <c r="M880" s="123"/>
      <c r="N880" s="123"/>
      <c r="O880" s="123"/>
      <c r="P880" s="123"/>
      <c r="Q880" s="123"/>
      <c r="R880" s="123"/>
      <c r="S880" s="123"/>
      <c r="T880" s="123"/>
      <c r="U880" s="123"/>
      <c r="V880" s="123"/>
      <c r="W880" s="123"/>
      <c r="X880" s="123"/>
      <c r="Y880" s="123"/>
    </row>
    <row r="881" spans="1:25" ht="15.75" customHeight="1" x14ac:dyDescent="0.2">
      <c r="A881" s="182"/>
      <c r="B881" s="175"/>
      <c r="C881" s="176"/>
      <c r="D881" s="176"/>
      <c r="E881" s="176"/>
      <c r="F881" s="123"/>
      <c r="G881" s="123"/>
      <c r="H881" s="123"/>
      <c r="I881" s="123"/>
      <c r="J881" s="174"/>
      <c r="K881" s="182"/>
      <c r="L881" s="123"/>
      <c r="M881" s="123"/>
      <c r="N881" s="123"/>
      <c r="O881" s="123"/>
      <c r="P881" s="123"/>
      <c r="Q881" s="123"/>
      <c r="R881" s="123"/>
      <c r="S881" s="123"/>
      <c r="T881" s="123"/>
      <c r="U881" s="123"/>
      <c r="V881" s="123"/>
      <c r="W881" s="123"/>
      <c r="X881" s="123"/>
      <c r="Y881" s="123"/>
    </row>
    <row r="882" spans="1:25" ht="15.75" customHeight="1" x14ac:dyDescent="0.2">
      <c r="A882" s="182"/>
      <c r="B882" s="175"/>
      <c r="C882" s="176"/>
      <c r="D882" s="176"/>
      <c r="E882" s="176"/>
      <c r="F882" s="123"/>
      <c r="G882" s="123"/>
      <c r="H882" s="123"/>
      <c r="I882" s="123"/>
      <c r="J882" s="174"/>
      <c r="K882" s="182"/>
      <c r="L882" s="123"/>
      <c r="M882" s="123"/>
      <c r="N882" s="123"/>
      <c r="O882" s="123"/>
      <c r="P882" s="123"/>
      <c r="Q882" s="123"/>
      <c r="R882" s="123"/>
      <c r="S882" s="123"/>
      <c r="T882" s="123"/>
      <c r="U882" s="123"/>
      <c r="V882" s="123"/>
      <c r="W882" s="123"/>
      <c r="X882" s="123"/>
      <c r="Y882" s="123"/>
    </row>
    <row r="883" spans="1:25" ht="15.75" customHeight="1" x14ac:dyDescent="0.2">
      <c r="A883" s="182"/>
      <c r="B883" s="175"/>
      <c r="C883" s="176"/>
      <c r="D883" s="176"/>
      <c r="E883" s="176"/>
      <c r="F883" s="123"/>
      <c r="G883" s="123"/>
      <c r="H883" s="123"/>
      <c r="I883" s="123"/>
      <c r="J883" s="174"/>
      <c r="K883" s="182"/>
      <c r="L883" s="123"/>
      <c r="M883" s="123"/>
      <c r="N883" s="123"/>
      <c r="O883" s="123"/>
      <c r="P883" s="123"/>
      <c r="Q883" s="123"/>
      <c r="R883" s="123"/>
      <c r="S883" s="123"/>
      <c r="T883" s="123"/>
      <c r="U883" s="123"/>
      <c r="V883" s="123"/>
      <c r="W883" s="123"/>
      <c r="X883" s="123"/>
      <c r="Y883" s="123"/>
    </row>
    <row r="884" spans="1:25" ht="15.75" customHeight="1" x14ac:dyDescent="0.2">
      <c r="A884" s="182"/>
      <c r="B884" s="175"/>
      <c r="C884" s="176"/>
      <c r="D884" s="176"/>
      <c r="E884" s="176"/>
      <c r="F884" s="123"/>
      <c r="G884" s="123"/>
      <c r="H884" s="123"/>
      <c r="I884" s="123"/>
      <c r="J884" s="174"/>
      <c r="K884" s="182"/>
      <c r="L884" s="123"/>
      <c r="M884" s="123"/>
      <c r="N884" s="123"/>
      <c r="O884" s="123"/>
      <c r="P884" s="123"/>
      <c r="Q884" s="123"/>
      <c r="R884" s="123"/>
      <c r="S884" s="123"/>
      <c r="T884" s="123"/>
      <c r="U884" s="123"/>
      <c r="V884" s="123"/>
      <c r="W884" s="123"/>
      <c r="X884" s="123"/>
      <c r="Y884" s="123"/>
    </row>
    <row r="885" spans="1:25" ht="15.75" customHeight="1" x14ac:dyDescent="0.2">
      <c r="A885" s="182"/>
      <c r="B885" s="175"/>
      <c r="C885" s="176"/>
      <c r="D885" s="176"/>
      <c r="E885" s="176"/>
      <c r="F885" s="123"/>
      <c r="G885" s="123"/>
      <c r="H885" s="123"/>
      <c r="I885" s="123"/>
      <c r="J885" s="174"/>
      <c r="K885" s="182"/>
      <c r="L885" s="123"/>
      <c r="M885" s="123"/>
      <c r="N885" s="123"/>
      <c r="O885" s="123"/>
      <c r="P885" s="123"/>
      <c r="Q885" s="123"/>
      <c r="R885" s="123"/>
      <c r="S885" s="123"/>
      <c r="T885" s="123"/>
      <c r="U885" s="123"/>
      <c r="V885" s="123"/>
      <c r="W885" s="123"/>
      <c r="X885" s="123"/>
      <c r="Y885" s="123"/>
    </row>
    <row r="886" spans="1:25" ht="15.75" customHeight="1" x14ac:dyDescent="0.2">
      <c r="A886" s="182"/>
      <c r="B886" s="175"/>
      <c r="C886" s="176"/>
      <c r="D886" s="176"/>
      <c r="E886" s="176"/>
      <c r="F886" s="123"/>
      <c r="G886" s="123"/>
      <c r="H886" s="123"/>
      <c r="I886" s="123"/>
      <c r="J886" s="174"/>
      <c r="K886" s="182"/>
      <c r="L886" s="123"/>
      <c r="M886" s="123"/>
      <c r="N886" s="123"/>
      <c r="O886" s="123"/>
      <c r="P886" s="123"/>
      <c r="Q886" s="123"/>
      <c r="R886" s="123"/>
      <c r="S886" s="123"/>
      <c r="T886" s="123"/>
      <c r="U886" s="123"/>
      <c r="V886" s="123"/>
      <c r="W886" s="123"/>
      <c r="X886" s="123"/>
      <c r="Y886" s="123"/>
    </row>
    <row r="887" spans="1:25" ht="15.75" customHeight="1" x14ac:dyDescent="0.2">
      <c r="A887" s="182"/>
      <c r="B887" s="175"/>
      <c r="C887" s="176"/>
      <c r="D887" s="176"/>
      <c r="E887" s="176"/>
      <c r="F887" s="123"/>
      <c r="G887" s="123"/>
      <c r="H887" s="123"/>
      <c r="I887" s="123"/>
      <c r="J887" s="174"/>
      <c r="K887" s="182"/>
      <c r="L887" s="123"/>
      <c r="M887" s="123"/>
      <c r="N887" s="123"/>
      <c r="O887" s="123"/>
      <c r="P887" s="123"/>
      <c r="Q887" s="123"/>
      <c r="R887" s="123"/>
      <c r="S887" s="123"/>
      <c r="T887" s="123"/>
      <c r="U887" s="123"/>
      <c r="V887" s="123"/>
      <c r="W887" s="123"/>
      <c r="X887" s="123"/>
      <c r="Y887" s="123"/>
    </row>
    <row r="888" spans="1:25" ht="15.75" customHeight="1" x14ac:dyDescent="0.2">
      <c r="A888" s="182"/>
      <c r="B888" s="175"/>
      <c r="C888" s="176"/>
      <c r="D888" s="176"/>
      <c r="E888" s="176"/>
      <c r="F888" s="123"/>
      <c r="G888" s="123"/>
      <c r="H888" s="123"/>
      <c r="I888" s="123"/>
      <c r="J888" s="174"/>
      <c r="K888" s="182"/>
      <c r="L888" s="123"/>
      <c r="M888" s="123"/>
      <c r="N888" s="123"/>
      <c r="O888" s="123"/>
      <c r="P888" s="123"/>
      <c r="Q888" s="123"/>
      <c r="R888" s="123"/>
      <c r="S888" s="123"/>
      <c r="T888" s="123"/>
      <c r="U888" s="123"/>
      <c r="V888" s="123"/>
      <c r="W888" s="123"/>
      <c r="X888" s="123"/>
      <c r="Y888" s="123"/>
    </row>
    <row r="889" spans="1:25" ht="15.75" customHeight="1" x14ac:dyDescent="0.2">
      <c r="A889" s="182"/>
      <c r="B889" s="175"/>
      <c r="C889" s="176"/>
      <c r="D889" s="176"/>
      <c r="E889" s="176"/>
      <c r="F889" s="123"/>
      <c r="G889" s="123"/>
      <c r="H889" s="123"/>
      <c r="I889" s="123"/>
      <c r="J889" s="174"/>
      <c r="K889" s="182"/>
      <c r="L889" s="123"/>
      <c r="M889" s="123"/>
      <c r="N889" s="123"/>
      <c r="O889" s="123"/>
      <c r="P889" s="123"/>
      <c r="Q889" s="123"/>
      <c r="R889" s="123"/>
      <c r="S889" s="123"/>
      <c r="T889" s="123"/>
      <c r="U889" s="123"/>
      <c r="V889" s="123"/>
      <c r="W889" s="123"/>
      <c r="X889" s="123"/>
      <c r="Y889" s="123"/>
    </row>
    <row r="890" spans="1:25" ht="15.75" customHeight="1" x14ac:dyDescent="0.2">
      <c r="A890" s="182"/>
      <c r="B890" s="175"/>
      <c r="C890" s="176"/>
      <c r="D890" s="176"/>
      <c r="E890" s="176"/>
      <c r="F890" s="123"/>
      <c r="G890" s="123"/>
      <c r="H890" s="123"/>
      <c r="I890" s="123"/>
      <c r="J890" s="174"/>
      <c r="K890" s="182"/>
      <c r="L890" s="123"/>
      <c r="M890" s="123"/>
      <c r="N890" s="123"/>
      <c r="O890" s="123"/>
      <c r="P890" s="123"/>
      <c r="Q890" s="123"/>
      <c r="R890" s="123"/>
      <c r="S890" s="123"/>
      <c r="T890" s="123"/>
      <c r="U890" s="123"/>
      <c r="V890" s="123"/>
      <c r="W890" s="123"/>
      <c r="X890" s="123"/>
      <c r="Y890" s="123"/>
    </row>
    <row r="891" spans="1:25" ht="15.75" customHeight="1" x14ac:dyDescent="0.2">
      <c r="A891" s="182"/>
      <c r="B891" s="175"/>
      <c r="C891" s="176"/>
      <c r="D891" s="176"/>
      <c r="E891" s="176"/>
      <c r="F891" s="123"/>
      <c r="G891" s="123"/>
      <c r="H891" s="123"/>
      <c r="I891" s="123"/>
      <c r="J891" s="174"/>
      <c r="K891" s="182"/>
      <c r="L891" s="123"/>
      <c r="M891" s="123"/>
      <c r="N891" s="123"/>
      <c r="O891" s="123"/>
      <c r="P891" s="123"/>
      <c r="Q891" s="123"/>
      <c r="R891" s="123"/>
      <c r="S891" s="123"/>
      <c r="T891" s="123"/>
      <c r="U891" s="123"/>
      <c r="V891" s="123"/>
      <c r="W891" s="123"/>
      <c r="X891" s="123"/>
      <c r="Y891" s="123"/>
    </row>
    <row r="892" spans="1:25" ht="15.75" customHeight="1" x14ac:dyDescent="0.2">
      <c r="A892" s="182"/>
      <c r="B892" s="175"/>
      <c r="C892" s="176"/>
      <c r="D892" s="176"/>
      <c r="E892" s="176"/>
      <c r="F892" s="123"/>
      <c r="G892" s="123"/>
      <c r="H892" s="123"/>
      <c r="I892" s="123"/>
      <c r="J892" s="174"/>
      <c r="K892" s="182"/>
      <c r="L892" s="123"/>
      <c r="M892" s="123"/>
      <c r="N892" s="123"/>
      <c r="O892" s="123"/>
      <c r="P892" s="123"/>
      <c r="Q892" s="123"/>
      <c r="R892" s="123"/>
      <c r="S892" s="123"/>
      <c r="T892" s="123"/>
      <c r="U892" s="123"/>
      <c r="V892" s="123"/>
      <c r="W892" s="123"/>
      <c r="X892" s="123"/>
      <c r="Y892" s="123"/>
    </row>
    <row r="893" spans="1:25" ht="15.75" customHeight="1" x14ac:dyDescent="0.2">
      <c r="A893" s="182"/>
      <c r="B893" s="175"/>
      <c r="C893" s="176"/>
      <c r="D893" s="176"/>
      <c r="E893" s="176"/>
      <c r="F893" s="123"/>
      <c r="G893" s="123"/>
      <c r="H893" s="123"/>
      <c r="I893" s="123"/>
      <c r="J893" s="174"/>
      <c r="K893" s="182"/>
      <c r="L893" s="123"/>
      <c r="M893" s="123"/>
      <c r="N893" s="123"/>
      <c r="O893" s="123"/>
      <c r="P893" s="123"/>
      <c r="Q893" s="123"/>
      <c r="R893" s="123"/>
      <c r="S893" s="123"/>
      <c r="T893" s="123"/>
      <c r="U893" s="123"/>
      <c r="V893" s="123"/>
      <c r="W893" s="123"/>
      <c r="X893" s="123"/>
      <c r="Y893" s="123"/>
    </row>
    <row r="894" spans="1:25" ht="15.75" customHeight="1" x14ac:dyDescent="0.2">
      <c r="A894" s="182"/>
      <c r="B894" s="175"/>
      <c r="C894" s="176"/>
      <c r="D894" s="176"/>
      <c r="E894" s="176"/>
      <c r="F894" s="123"/>
      <c r="G894" s="123"/>
      <c r="H894" s="123"/>
      <c r="I894" s="123"/>
      <c r="J894" s="174"/>
      <c r="K894" s="182"/>
      <c r="L894" s="123"/>
      <c r="M894" s="123"/>
      <c r="N894" s="123"/>
      <c r="O894" s="123"/>
      <c r="P894" s="123"/>
      <c r="Q894" s="123"/>
      <c r="R894" s="123"/>
      <c r="S894" s="123"/>
      <c r="T894" s="123"/>
      <c r="U894" s="123"/>
      <c r="V894" s="123"/>
      <c r="W894" s="123"/>
      <c r="X894" s="123"/>
      <c r="Y894" s="123"/>
    </row>
    <row r="895" spans="1:25" ht="15.75" customHeight="1" x14ac:dyDescent="0.2">
      <c r="A895" s="182"/>
      <c r="B895" s="175"/>
      <c r="C895" s="176"/>
      <c r="D895" s="176"/>
      <c r="E895" s="176"/>
      <c r="F895" s="123"/>
      <c r="G895" s="123"/>
      <c r="H895" s="123"/>
      <c r="I895" s="123"/>
      <c r="J895" s="174"/>
      <c r="K895" s="182"/>
      <c r="L895" s="123"/>
      <c r="M895" s="123"/>
      <c r="N895" s="123"/>
      <c r="O895" s="123"/>
      <c r="P895" s="123"/>
      <c r="Q895" s="123"/>
      <c r="R895" s="123"/>
      <c r="S895" s="123"/>
      <c r="T895" s="123"/>
      <c r="U895" s="123"/>
      <c r="V895" s="123"/>
      <c r="W895" s="123"/>
      <c r="X895" s="123"/>
      <c r="Y895" s="123"/>
    </row>
    <row r="896" spans="1:25" ht="15.75" customHeight="1" x14ac:dyDescent="0.2">
      <c r="A896" s="182"/>
      <c r="B896" s="175"/>
      <c r="C896" s="176"/>
      <c r="D896" s="176"/>
      <c r="E896" s="176"/>
      <c r="F896" s="123"/>
      <c r="G896" s="123"/>
      <c r="H896" s="123"/>
      <c r="I896" s="123"/>
      <c r="J896" s="174"/>
      <c r="K896" s="182"/>
      <c r="L896" s="123"/>
      <c r="M896" s="123"/>
      <c r="N896" s="123"/>
      <c r="O896" s="123"/>
      <c r="P896" s="123"/>
      <c r="Q896" s="123"/>
      <c r="R896" s="123"/>
      <c r="S896" s="123"/>
      <c r="T896" s="123"/>
      <c r="U896" s="123"/>
      <c r="V896" s="123"/>
      <c r="W896" s="123"/>
      <c r="X896" s="123"/>
      <c r="Y896" s="123"/>
    </row>
    <row r="897" spans="1:25" ht="15.75" customHeight="1" x14ac:dyDescent="0.2">
      <c r="A897" s="182"/>
      <c r="B897" s="175"/>
      <c r="C897" s="176"/>
      <c r="D897" s="176"/>
      <c r="E897" s="176"/>
      <c r="F897" s="123"/>
      <c r="G897" s="123"/>
      <c r="H897" s="123"/>
      <c r="I897" s="123"/>
      <c r="J897" s="174"/>
      <c r="K897" s="182"/>
      <c r="L897" s="123"/>
      <c r="M897" s="123"/>
      <c r="N897" s="123"/>
      <c r="O897" s="123"/>
      <c r="P897" s="123"/>
      <c r="Q897" s="123"/>
      <c r="R897" s="123"/>
      <c r="S897" s="123"/>
      <c r="T897" s="123"/>
      <c r="U897" s="123"/>
      <c r="V897" s="123"/>
      <c r="W897" s="123"/>
      <c r="X897" s="123"/>
      <c r="Y897" s="123"/>
    </row>
    <row r="898" spans="1:25" ht="15.75" customHeight="1" x14ac:dyDescent="0.2">
      <c r="A898" s="182"/>
      <c r="B898" s="175"/>
      <c r="C898" s="176"/>
      <c r="D898" s="176"/>
      <c r="E898" s="176"/>
      <c r="F898" s="123"/>
      <c r="G898" s="123"/>
      <c r="H898" s="123"/>
      <c r="I898" s="123"/>
      <c r="J898" s="174"/>
      <c r="K898" s="182"/>
      <c r="L898" s="123"/>
      <c r="M898" s="123"/>
      <c r="N898" s="123"/>
      <c r="O898" s="123"/>
      <c r="P898" s="123"/>
      <c r="Q898" s="123"/>
      <c r="R898" s="123"/>
      <c r="S898" s="123"/>
      <c r="T898" s="123"/>
      <c r="U898" s="123"/>
      <c r="V898" s="123"/>
      <c r="W898" s="123"/>
      <c r="X898" s="123"/>
      <c r="Y898" s="123"/>
    </row>
    <row r="899" spans="1:25" ht="15.75" customHeight="1" x14ac:dyDescent="0.2">
      <c r="A899" s="182"/>
      <c r="B899" s="175"/>
      <c r="C899" s="176"/>
      <c r="D899" s="176"/>
      <c r="E899" s="176"/>
      <c r="F899" s="123"/>
      <c r="G899" s="123"/>
      <c r="H899" s="123"/>
      <c r="I899" s="123"/>
      <c r="J899" s="174"/>
      <c r="K899" s="182"/>
      <c r="L899" s="123"/>
      <c r="M899" s="123"/>
      <c r="N899" s="123"/>
      <c r="O899" s="123"/>
      <c r="P899" s="123"/>
      <c r="Q899" s="123"/>
      <c r="R899" s="123"/>
      <c r="S899" s="123"/>
      <c r="T899" s="123"/>
      <c r="U899" s="123"/>
      <c r="V899" s="123"/>
      <c r="W899" s="123"/>
      <c r="X899" s="123"/>
      <c r="Y899" s="123"/>
    </row>
    <row r="900" spans="1:25" ht="15.75" customHeight="1" x14ac:dyDescent="0.2">
      <c r="A900" s="182"/>
      <c r="B900" s="175"/>
      <c r="C900" s="176"/>
      <c r="D900" s="176"/>
      <c r="E900" s="176"/>
      <c r="F900" s="123"/>
      <c r="G900" s="123"/>
      <c r="H900" s="123"/>
      <c r="I900" s="123"/>
      <c r="J900" s="174"/>
      <c r="K900" s="182"/>
      <c r="L900" s="123"/>
      <c r="M900" s="123"/>
      <c r="N900" s="123"/>
      <c r="O900" s="123"/>
      <c r="P900" s="123"/>
      <c r="Q900" s="123"/>
      <c r="R900" s="123"/>
      <c r="S900" s="123"/>
      <c r="T900" s="123"/>
      <c r="U900" s="123"/>
      <c r="V900" s="123"/>
      <c r="W900" s="123"/>
      <c r="X900" s="123"/>
      <c r="Y900" s="123"/>
    </row>
    <row r="901" spans="1:25" ht="15.75" customHeight="1" x14ac:dyDescent="0.2">
      <c r="A901" s="182"/>
      <c r="B901" s="175"/>
      <c r="C901" s="176"/>
      <c r="D901" s="176"/>
      <c r="E901" s="176"/>
      <c r="F901" s="123"/>
      <c r="G901" s="123"/>
      <c r="H901" s="123"/>
      <c r="I901" s="123"/>
      <c r="J901" s="174"/>
      <c r="K901" s="182"/>
      <c r="L901" s="123"/>
      <c r="M901" s="123"/>
      <c r="N901" s="123"/>
      <c r="O901" s="123"/>
      <c r="P901" s="123"/>
      <c r="Q901" s="123"/>
      <c r="R901" s="123"/>
      <c r="S901" s="123"/>
      <c r="T901" s="123"/>
      <c r="U901" s="123"/>
      <c r="V901" s="123"/>
      <c r="W901" s="123"/>
      <c r="X901" s="123"/>
      <c r="Y901" s="123"/>
    </row>
    <row r="902" spans="1:25" ht="15.75" customHeight="1" x14ac:dyDescent="0.2">
      <c r="A902" s="182"/>
      <c r="B902" s="175"/>
      <c r="C902" s="176"/>
      <c r="D902" s="176"/>
      <c r="E902" s="176"/>
      <c r="F902" s="123"/>
      <c r="G902" s="123"/>
      <c r="H902" s="123"/>
      <c r="I902" s="123"/>
      <c r="J902" s="174"/>
      <c r="K902" s="182"/>
      <c r="L902" s="123"/>
      <c r="M902" s="123"/>
      <c r="N902" s="123"/>
      <c r="O902" s="123"/>
      <c r="P902" s="123"/>
      <c r="Q902" s="123"/>
      <c r="R902" s="123"/>
      <c r="S902" s="123"/>
      <c r="T902" s="123"/>
      <c r="U902" s="123"/>
      <c r="V902" s="123"/>
      <c r="W902" s="123"/>
      <c r="X902" s="123"/>
      <c r="Y902" s="123"/>
    </row>
    <row r="903" spans="1:25" ht="15.75" customHeight="1" x14ac:dyDescent="0.2">
      <c r="A903" s="182"/>
      <c r="B903" s="175"/>
      <c r="C903" s="176"/>
      <c r="D903" s="176"/>
      <c r="E903" s="176"/>
      <c r="F903" s="123"/>
      <c r="G903" s="123"/>
      <c r="H903" s="123"/>
      <c r="I903" s="123"/>
      <c r="J903" s="174"/>
      <c r="K903" s="182"/>
      <c r="L903" s="123"/>
      <c r="M903" s="123"/>
      <c r="N903" s="123"/>
      <c r="O903" s="123"/>
      <c r="P903" s="123"/>
      <c r="Q903" s="123"/>
      <c r="R903" s="123"/>
      <c r="S903" s="123"/>
      <c r="T903" s="123"/>
      <c r="U903" s="123"/>
      <c r="V903" s="123"/>
      <c r="W903" s="123"/>
      <c r="X903" s="123"/>
      <c r="Y903" s="123"/>
    </row>
    <row r="904" spans="1:25" ht="15.75" customHeight="1" x14ac:dyDescent="0.2">
      <c r="A904" s="182"/>
      <c r="B904" s="175"/>
      <c r="C904" s="176"/>
      <c r="D904" s="176"/>
      <c r="E904" s="176"/>
      <c r="F904" s="123"/>
      <c r="G904" s="123"/>
      <c r="H904" s="123"/>
      <c r="I904" s="123"/>
      <c r="J904" s="174"/>
      <c r="K904" s="182"/>
      <c r="L904" s="123"/>
      <c r="M904" s="123"/>
      <c r="N904" s="123"/>
      <c r="O904" s="123"/>
      <c r="P904" s="123"/>
      <c r="Q904" s="123"/>
      <c r="R904" s="123"/>
      <c r="S904" s="123"/>
      <c r="T904" s="123"/>
      <c r="U904" s="123"/>
      <c r="V904" s="123"/>
      <c r="W904" s="123"/>
      <c r="X904" s="123"/>
      <c r="Y904" s="123"/>
    </row>
    <row r="905" spans="1:25" ht="15.75" customHeight="1" x14ac:dyDescent="0.2">
      <c r="A905" s="182"/>
      <c r="B905" s="175"/>
      <c r="C905" s="176"/>
      <c r="D905" s="176"/>
      <c r="E905" s="176"/>
      <c r="F905" s="123"/>
      <c r="G905" s="123"/>
      <c r="H905" s="123"/>
      <c r="I905" s="123"/>
      <c r="J905" s="174"/>
      <c r="K905" s="182"/>
      <c r="L905" s="123"/>
      <c r="M905" s="123"/>
      <c r="N905" s="123"/>
      <c r="O905" s="123"/>
      <c r="P905" s="123"/>
      <c r="Q905" s="123"/>
      <c r="R905" s="123"/>
      <c r="S905" s="123"/>
      <c r="T905" s="123"/>
      <c r="U905" s="123"/>
      <c r="V905" s="123"/>
      <c r="W905" s="123"/>
      <c r="X905" s="123"/>
      <c r="Y905" s="123"/>
    </row>
    <row r="906" spans="1:25" ht="15.75" customHeight="1" x14ac:dyDescent="0.2">
      <c r="A906" s="182"/>
      <c r="B906" s="175"/>
      <c r="C906" s="176"/>
      <c r="D906" s="176"/>
      <c r="E906" s="176"/>
      <c r="F906" s="123"/>
      <c r="G906" s="123"/>
      <c r="H906" s="123"/>
      <c r="I906" s="123"/>
      <c r="J906" s="174"/>
      <c r="K906" s="182"/>
      <c r="L906" s="123"/>
      <c r="M906" s="123"/>
      <c r="N906" s="123"/>
      <c r="O906" s="123"/>
      <c r="P906" s="123"/>
      <c r="Q906" s="123"/>
      <c r="R906" s="123"/>
      <c r="S906" s="123"/>
      <c r="T906" s="123"/>
      <c r="U906" s="123"/>
      <c r="V906" s="123"/>
      <c r="W906" s="123"/>
      <c r="X906" s="123"/>
      <c r="Y906" s="123"/>
    </row>
    <row r="907" spans="1:25" ht="15.75" customHeight="1" x14ac:dyDescent="0.2">
      <c r="A907" s="182"/>
      <c r="B907" s="175"/>
      <c r="C907" s="176"/>
      <c r="D907" s="176"/>
      <c r="E907" s="176"/>
      <c r="F907" s="123"/>
      <c r="G907" s="123"/>
      <c r="H907" s="123"/>
      <c r="I907" s="123"/>
      <c r="J907" s="174"/>
      <c r="K907" s="182"/>
      <c r="L907" s="123"/>
      <c r="M907" s="123"/>
      <c r="N907" s="123"/>
      <c r="O907" s="123"/>
      <c r="P907" s="123"/>
      <c r="Q907" s="123"/>
      <c r="R907" s="123"/>
      <c r="S907" s="123"/>
      <c r="T907" s="123"/>
      <c r="U907" s="123"/>
      <c r="V907" s="123"/>
      <c r="W907" s="123"/>
      <c r="X907" s="123"/>
      <c r="Y907" s="123"/>
    </row>
    <row r="908" spans="1:25" ht="15.75" customHeight="1" x14ac:dyDescent="0.2">
      <c r="A908" s="182"/>
      <c r="B908" s="175"/>
      <c r="C908" s="176"/>
      <c r="D908" s="176"/>
      <c r="E908" s="176"/>
      <c r="F908" s="123"/>
      <c r="G908" s="123"/>
      <c r="H908" s="123"/>
      <c r="I908" s="123"/>
      <c r="J908" s="174"/>
      <c r="K908" s="182"/>
      <c r="L908" s="123"/>
      <c r="M908" s="123"/>
      <c r="N908" s="123"/>
      <c r="O908" s="123"/>
      <c r="P908" s="123"/>
      <c r="Q908" s="123"/>
      <c r="R908" s="123"/>
      <c r="S908" s="123"/>
      <c r="T908" s="123"/>
      <c r="U908" s="123"/>
      <c r="V908" s="123"/>
      <c r="W908" s="123"/>
      <c r="X908" s="123"/>
      <c r="Y908" s="123"/>
    </row>
    <row r="909" spans="1:25" ht="15.75" customHeight="1" x14ac:dyDescent="0.2">
      <c r="A909" s="182"/>
      <c r="B909" s="175"/>
      <c r="C909" s="176"/>
      <c r="D909" s="176"/>
      <c r="E909" s="176"/>
      <c r="F909" s="123"/>
      <c r="G909" s="123"/>
      <c r="H909" s="123"/>
      <c r="I909" s="123"/>
      <c r="J909" s="174"/>
      <c r="K909" s="182"/>
      <c r="L909" s="123"/>
      <c r="M909" s="123"/>
      <c r="N909" s="123"/>
      <c r="O909" s="123"/>
      <c r="P909" s="123"/>
      <c r="Q909" s="123"/>
      <c r="R909" s="123"/>
      <c r="S909" s="123"/>
      <c r="T909" s="123"/>
      <c r="U909" s="123"/>
      <c r="V909" s="123"/>
      <c r="W909" s="123"/>
      <c r="X909" s="123"/>
      <c r="Y909" s="123"/>
    </row>
    <row r="910" spans="1:25" ht="15.75" customHeight="1" x14ac:dyDescent="0.2">
      <c r="A910" s="182"/>
      <c r="B910" s="175"/>
      <c r="C910" s="176"/>
      <c r="D910" s="176"/>
      <c r="E910" s="176"/>
      <c r="F910" s="123"/>
      <c r="G910" s="123"/>
      <c r="H910" s="123"/>
      <c r="I910" s="123"/>
      <c r="J910" s="174"/>
      <c r="K910" s="182"/>
      <c r="L910" s="123"/>
      <c r="M910" s="123"/>
      <c r="N910" s="123"/>
      <c r="O910" s="123"/>
      <c r="P910" s="123"/>
      <c r="Q910" s="123"/>
      <c r="R910" s="123"/>
      <c r="S910" s="123"/>
      <c r="T910" s="123"/>
      <c r="U910" s="123"/>
      <c r="V910" s="123"/>
      <c r="W910" s="123"/>
      <c r="X910" s="123"/>
      <c r="Y910" s="123"/>
    </row>
    <row r="911" spans="1:25" ht="15.75" customHeight="1" x14ac:dyDescent="0.2">
      <c r="A911" s="182"/>
      <c r="B911" s="175"/>
      <c r="C911" s="176"/>
      <c r="D911" s="176"/>
      <c r="E911" s="176"/>
      <c r="F911" s="123"/>
      <c r="G911" s="123"/>
      <c r="H911" s="123"/>
      <c r="I911" s="123"/>
      <c r="J911" s="174"/>
      <c r="K911" s="182"/>
      <c r="L911" s="123"/>
      <c r="M911" s="123"/>
      <c r="N911" s="123"/>
      <c r="O911" s="123"/>
      <c r="P911" s="123"/>
      <c r="Q911" s="123"/>
      <c r="R911" s="123"/>
      <c r="S911" s="123"/>
      <c r="T911" s="123"/>
      <c r="U911" s="123"/>
      <c r="V911" s="123"/>
      <c r="W911" s="123"/>
      <c r="X911" s="123"/>
      <c r="Y911" s="123"/>
    </row>
    <row r="912" spans="1:25" ht="15.75" customHeight="1" x14ac:dyDescent="0.2">
      <c r="A912" s="182"/>
      <c r="B912" s="175"/>
      <c r="C912" s="176"/>
      <c r="D912" s="176"/>
      <c r="E912" s="176"/>
      <c r="F912" s="123"/>
      <c r="G912" s="123"/>
      <c r="H912" s="123"/>
      <c r="I912" s="123"/>
      <c r="J912" s="174"/>
      <c r="K912" s="182"/>
      <c r="L912" s="123"/>
      <c r="M912" s="123"/>
      <c r="N912" s="123"/>
      <c r="O912" s="123"/>
      <c r="P912" s="123"/>
      <c r="Q912" s="123"/>
      <c r="R912" s="123"/>
      <c r="S912" s="123"/>
      <c r="T912" s="123"/>
      <c r="U912" s="123"/>
      <c r="V912" s="123"/>
      <c r="W912" s="123"/>
      <c r="X912" s="123"/>
      <c r="Y912" s="123"/>
    </row>
    <row r="913" spans="1:25" ht="15.75" customHeight="1" x14ac:dyDescent="0.2">
      <c r="A913" s="182"/>
      <c r="B913" s="175"/>
      <c r="C913" s="176"/>
      <c r="D913" s="176"/>
      <c r="E913" s="176"/>
      <c r="F913" s="123"/>
      <c r="G913" s="123"/>
      <c r="H913" s="123"/>
      <c r="I913" s="123"/>
      <c r="J913" s="174"/>
      <c r="K913" s="182"/>
      <c r="L913" s="123"/>
      <c r="M913" s="123"/>
      <c r="N913" s="123"/>
      <c r="O913" s="123"/>
      <c r="P913" s="123"/>
      <c r="Q913" s="123"/>
      <c r="R913" s="123"/>
      <c r="S913" s="123"/>
      <c r="T913" s="123"/>
      <c r="U913" s="123"/>
      <c r="V913" s="123"/>
      <c r="W913" s="123"/>
      <c r="X913" s="123"/>
      <c r="Y913" s="123"/>
    </row>
    <row r="914" spans="1:25" ht="15.75" customHeight="1" x14ac:dyDescent="0.2">
      <c r="A914" s="182"/>
      <c r="B914" s="175"/>
      <c r="C914" s="176"/>
      <c r="D914" s="176"/>
      <c r="E914" s="176"/>
      <c r="F914" s="123"/>
      <c r="G914" s="123"/>
      <c r="H914" s="123"/>
      <c r="I914" s="123"/>
      <c r="J914" s="174"/>
      <c r="K914" s="182"/>
      <c r="L914" s="123"/>
      <c r="M914" s="123"/>
      <c r="N914" s="123"/>
      <c r="O914" s="123"/>
      <c r="P914" s="123"/>
      <c r="Q914" s="123"/>
      <c r="R914" s="123"/>
      <c r="S914" s="123"/>
      <c r="T914" s="123"/>
      <c r="U914" s="123"/>
      <c r="V914" s="123"/>
      <c r="W914" s="123"/>
      <c r="X914" s="123"/>
      <c r="Y914" s="123"/>
    </row>
    <row r="915" spans="1:25" ht="15.75" customHeight="1" x14ac:dyDescent="0.2">
      <c r="A915" s="182"/>
      <c r="B915" s="175"/>
      <c r="C915" s="176"/>
      <c r="D915" s="176"/>
      <c r="E915" s="176"/>
      <c r="F915" s="123"/>
      <c r="G915" s="123"/>
      <c r="H915" s="123"/>
      <c r="I915" s="123"/>
      <c r="J915" s="174"/>
      <c r="K915" s="182"/>
      <c r="L915" s="123"/>
      <c r="M915" s="123"/>
      <c r="N915" s="123"/>
      <c r="O915" s="123"/>
      <c r="P915" s="123"/>
      <c r="Q915" s="123"/>
      <c r="R915" s="123"/>
      <c r="S915" s="123"/>
      <c r="T915" s="123"/>
      <c r="U915" s="123"/>
      <c r="V915" s="123"/>
      <c r="W915" s="123"/>
      <c r="X915" s="123"/>
      <c r="Y915" s="123"/>
    </row>
    <row r="916" spans="1:25" ht="15.75" customHeight="1" x14ac:dyDescent="0.2">
      <c r="A916" s="182"/>
      <c r="B916" s="175"/>
      <c r="C916" s="176"/>
      <c r="D916" s="176"/>
      <c r="E916" s="176"/>
      <c r="F916" s="123"/>
      <c r="G916" s="123"/>
      <c r="H916" s="123"/>
      <c r="I916" s="123"/>
      <c r="J916" s="174"/>
      <c r="K916" s="182"/>
      <c r="L916" s="123"/>
      <c r="M916" s="123"/>
      <c r="N916" s="123"/>
      <c r="O916" s="123"/>
      <c r="P916" s="123"/>
      <c r="Q916" s="123"/>
      <c r="R916" s="123"/>
      <c r="S916" s="123"/>
      <c r="T916" s="123"/>
      <c r="U916" s="123"/>
      <c r="V916" s="123"/>
      <c r="W916" s="123"/>
      <c r="X916" s="123"/>
      <c r="Y916" s="123"/>
    </row>
    <row r="917" spans="1:25" ht="15.75" customHeight="1" x14ac:dyDescent="0.2">
      <c r="A917" s="182"/>
      <c r="B917" s="175"/>
      <c r="C917" s="176"/>
      <c r="D917" s="176"/>
      <c r="E917" s="176"/>
      <c r="F917" s="123"/>
      <c r="G917" s="123"/>
      <c r="H917" s="123"/>
      <c r="I917" s="123"/>
      <c r="J917" s="174"/>
      <c r="K917" s="182"/>
      <c r="L917" s="123"/>
      <c r="M917" s="123"/>
      <c r="N917" s="123"/>
      <c r="O917" s="123"/>
      <c r="P917" s="123"/>
      <c r="Q917" s="123"/>
      <c r="R917" s="123"/>
      <c r="S917" s="123"/>
      <c r="T917" s="123"/>
      <c r="U917" s="123"/>
      <c r="V917" s="123"/>
      <c r="W917" s="123"/>
      <c r="X917" s="123"/>
      <c r="Y917" s="123"/>
    </row>
    <row r="918" spans="1:25" ht="15.75" customHeight="1" x14ac:dyDescent="0.2">
      <c r="A918" s="182"/>
      <c r="B918" s="175"/>
      <c r="C918" s="176"/>
      <c r="D918" s="176"/>
      <c r="E918" s="176"/>
      <c r="F918" s="123"/>
      <c r="G918" s="123"/>
      <c r="H918" s="123"/>
      <c r="I918" s="123"/>
      <c r="J918" s="174"/>
      <c r="K918" s="182"/>
      <c r="L918" s="123"/>
      <c r="M918" s="123"/>
      <c r="N918" s="123"/>
      <c r="O918" s="123"/>
      <c r="P918" s="123"/>
      <c r="Q918" s="123"/>
      <c r="R918" s="123"/>
      <c r="S918" s="123"/>
      <c r="T918" s="123"/>
      <c r="U918" s="123"/>
      <c r="V918" s="123"/>
      <c r="W918" s="123"/>
      <c r="X918" s="123"/>
      <c r="Y918" s="123"/>
    </row>
    <row r="919" spans="1:25" ht="15.75" customHeight="1" x14ac:dyDescent="0.2">
      <c r="A919" s="182"/>
      <c r="B919" s="175"/>
      <c r="C919" s="176"/>
      <c r="D919" s="176"/>
      <c r="E919" s="176"/>
      <c r="F919" s="123"/>
      <c r="G919" s="123"/>
      <c r="H919" s="123"/>
      <c r="I919" s="123"/>
      <c r="J919" s="174"/>
      <c r="K919" s="182"/>
      <c r="L919" s="123"/>
      <c r="M919" s="123"/>
      <c r="N919" s="123"/>
      <c r="O919" s="123"/>
      <c r="P919" s="123"/>
      <c r="Q919" s="123"/>
      <c r="R919" s="123"/>
      <c r="S919" s="123"/>
      <c r="T919" s="123"/>
      <c r="U919" s="123"/>
      <c r="V919" s="123"/>
      <c r="W919" s="123"/>
      <c r="X919" s="123"/>
      <c r="Y919" s="123"/>
    </row>
    <row r="920" spans="1:25" ht="15.75" customHeight="1" x14ac:dyDescent="0.2">
      <c r="A920" s="182"/>
      <c r="B920" s="175"/>
      <c r="C920" s="176"/>
      <c r="D920" s="176"/>
      <c r="E920" s="176"/>
      <c r="F920" s="123"/>
      <c r="G920" s="123"/>
      <c r="H920" s="123"/>
      <c r="I920" s="123"/>
      <c r="J920" s="174"/>
      <c r="K920" s="182"/>
      <c r="L920" s="123"/>
      <c r="M920" s="123"/>
      <c r="N920" s="123"/>
      <c r="O920" s="123"/>
      <c r="P920" s="123"/>
      <c r="Q920" s="123"/>
      <c r="R920" s="123"/>
      <c r="S920" s="123"/>
      <c r="T920" s="123"/>
      <c r="U920" s="123"/>
      <c r="V920" s="123"/>
      <c r="W920" s="123"/>
      <c r="X920" s="123"/>
      <c r="Y920" s="123"/>
    </row>
    <row r="921" spans="1:25" ht="15.75" customHeight="1" x14ac:dyDescent="0.2">
      <c r="A921" s="182"/>
      <c r="B921" s="175"/>
      <c r="C921" s="176"/>
      <c r="D921" s="176"/>
      <c r="E921" s="176"/>
      <c r="F921" s="123"/>
      <c r="G921" s="123"/>
      <c r="H921" s="123"/>
      <c r="I921" s="123"/>
      <c r="J921" s="174"/>
      <c r="K921" s="182"/>
      <c r="L921" s="123"/>
      <c r="M921" s="123"/>
      <c r="N921" s="123"/>
      <c r="O921" s="123"/>
      <c r="P921" s="123"/>
      <c r="Q921" s="123"/>
      <c r="R921" s="123"/>
      <c r="S921" s="123"/>
      <c r="T921" s="123"/>
      <c r="U921" s="123"/>
      <c r="V921" s="123"/>
      <c r="W921" s="123"/>
      <c r="X921" s="123"/>
      <c r="Y921" s="123"/>
    </row>
    <row r="922" spans="1:25" ht="15.75" customHeight="1" x14ac:dyDescent="0.2">
      <c r="A922" s="182"/>
      <c r="B922" s="175"/>
      <c r="C922" s="176"/>
      <c r="D922" s="176"/>
      <c r="E922" s="176"/>
      <c r="F922" s="123"/>
      <c r="G922" s="123"/>
      <c r="H922" s="123"/>
      <c r="I922" s="123"/>
      <c r="J922" s="174"/>
      <c r="K922" s="182"/>
      <c r="L922" s="123"/>
      <c r="M922" s="123"/>
      <c r="N922" s="123"/>
      <c r="O922" s="123"/>
      <c r="P922" s="123"/>
      <c r="Q922" s="123"/>
      <c r="R922" s="123"/>
      <c r="S922" s="123"/>
      <c r="T922" s="123"/>
      <c r="U922" s="123"/>
      <c r="V922" s="123"/>
      <c r="W922" s="123"/>
      <c r="X922" s="123"/>
      <c r="Y922" s="123"/>
    </row>
    <row r="923" spans="1:25" ht="15.75" customHeight="1" x14ac:dyDescent="0.2">
      <c r="A923" s="182"/>
      <c r="B923" s="175"/>
      <c r="C923" s="176"/>
      <c r="D923" s="176"/>
      <c r="E923" s="176"/>
      <c r="F923" s="123"/>
      <c r="G923" s="123"/>
      <c r="H923" s="123"/>
      <c r="I923" s="123"/>
      <c r="J923" s="174"/>
      <c r="K923" s="182"/>
      <c r="L923" s="123"/>
      <c r="M923" s="123"/>
      <c r="N923" s="123"/>
      <c r="O923" s="123"/>
      <c r="P923" s="123"/>
      <c r="Q923" s="123"/>
      <c r="R923" s="123"/>
      <c r="S923" s="123"/>
      <c r="T923" s="123"/>
      <c r="U923" s="123"/>
      <c r="V923" s="123"/>
      <c r="W923" s="123"/>
      <c r="X923" s="123"/>
      <c r="Y923" s="123"/>
    </row>
    <row r="924" spans="1:25" ht="15.75" customHeight="1" x14ac:dyDescent="0.2">
      <c r="A924" s="182"/>
      <c r="B924" s="175"/>
      <c r="C924" s="176"/>
      <c r="D924" s="176"/>
      <c r="E924" s="176"/>
      <c r="F924" s="123"/>
      <c r="G924" s="123"/>
      <c r="H924" s="123"/>
      <c r="I924" s="123"/>
      <c r="J924" s="174"/>
      <c r="K924" s="182"/>
      <c r="L924" s="123"/>
      <c r="M924" s="123"/>
      <c r="N924" s="123"/>
      <c r="O924" s="123"/>
      <c r="P924" s="123"/>
      <c r="Q924" s="123"/>
      <c r="R924" s="123"/>
      <c r="S924" s="123"/>
      <c r="T924" s="123"/>
      <c r="U924" s="123"/>
      <c r="V924" s="123"/>
      <c r="W924" s="123"/>
      <c r="X924" s="123"/>
      <c r="Y924" s="123"/>
    </row>
    <row r="925" spans="1:25" ht="15.75" customHeight="1" x14ac:dyDescent="0.2">
      <c r="A925" s="182"/>
      <c r="B925" s="175"/>
      <c r="C925" s="176"/>
      <c r="D925" s="176"/>
      <c r="E925" s="176"/>
      <c r="F925" s="123"/>
      <c r="G925" s="123"/>
      <c r="H925" s="123"/>
      <c r="I925" s="123"/>
      <c r="J925" s="174"/>
      <c r="K925" s="182"/>
      <c r="L925" s="123"/>
      <c r="M925" s="123"/>
      <c r="N925" s="123"/>
      <c r="O925" s="123"/>
      <c r="P925" s="123"/>
      <c r="Q925" s="123"/>
      <c r="R925" s="123"/>
      <c r="S925" s="123"/>
      <c r="T925" s="123"/>
      <c r="U925" s="123"/>
      <c r="V925" s="123"/>
      <c r="W925" s="123"/>
      <c r="X925" s="123"/>
      <c r="Y925" s="123"/>
    </row>
    <row r="926" spans="1:25" ht="15.75" customHeight="1" x14ac:dyDescent="0.2">
      <c r="A926" s="182"/>
      <c r="B926" s="175"/>
      <c r="C926" s="176"/>
      <c r="D926" s="176"/>
      <c r="E926" s="176"/>
      <c r="F926" s="123"/>
      <c r="G926" s="123"/>
      <c r="H926" s="123"/>
      <c r="I926" s="123"/>
      <c r="J926" s="174"/>
      <c r="K926" s="182"/>
      <c r="L926" s="123"/>
      <c r="M926" s="123"/>
      <c r="N926" s="123"/>
      <c r="O926" s="123"/>
      <c r="P926" s="123"/>
      <c r="Q926" s="123"/>
      <c r="R926" s="123"/>
      <c r="S926" s="123"/>
      <c r="T926" s="123"/>
      <c r="U926" s="123"/>
      <c r="V926" s="123"/>
      <c r="W926" s="123"/>
      <c r="X926" s="123"/>
      <c r="Y926" s="123"/>
    </row>
    <row r="927" spans="1:25" ht="15.75" customHeight="1" x14ac:dyDescent="0.2">
      <c r="A927" s="182"/>
      <c r="B927" s="175"/>
      <c r="C927" s="176"/>
      <c r="D927" s="176"/>
      <c r="E927" s="176"/>
      <c r="F927" s="123"/>
      <c r="G927" s="123"/>
      <c r="H927" s="123"/>
      <c r="I927" s="123"/>
      <c r="J927" s="174"/>
      <c r="K927" s="182"/>
      <c r="L927" s="123"/>
      <c r="M927" s="123"/>
      <c r="N927" s="123"/>
      <c r="O927" s="123"/>
      <c r="P927" s="123"/>
      <c r="Q927" s="123"/>
      <c r="R927" s="123"/>
      <c r="S927" s="123"/>
      <c r="T927" s="123"/>
      <c r="U927" s="123"/>
      <c r="V927" s="123"/>
      <c r="W927" s="123"/>
      <c r="X927" s="123"/>
      <c r="Y927" s="123"/>
    </row>
    <row r="928" spans="1:25" ht="15.75" customHeight="1" x14ac:dyDescent="0.2">
      <c r="A928" s="182"/>
      <c r="B928" s="175"/>
      <c r="C928" s="176"/>
      <c r="D928" s="176"/>
      <c r="E928" s="176"/>
      <c r="F928" s="123"/>
      <c r="G928" s="123"/>
      <c r="H928" s="123"/>
      <c r="I928" s="123"/>
      <c r="J928" s="174"/>
      <c r="K928" s="182"/>
      <c r="L928" s="123"/>
      <c r="M928" s="123"/>
      <c r="N928" s="123"/>
      <c r="O928" s="123"/>
      <c r="P928" s="123"/>
      <c r="Q928" s="123"/>
      <c r="R928" s="123"/>
      <c r="S928" s="123"/>
      <c r="T928" s="123"/>
      <c r="U928" s="123"/>
      <c r="V928" s="123"/>
      <c r="W928" s="123"/>
      <c r="X928" s="123"/>
      <c r="Y928" s="123"/>
    </row>
    <row r="929" spans="1:25" ht="15.75" customHeight="1" x14ac:dyDescent="0.2">
      <c r="A929" s="182"/>
      <c r="B929" s="175"/>
      <c r="C929" s="176"/>
      <c r="D929" s="176"/>
      <c r="E929" s="176"/>
      <c r="F929" s="123"/>
      <c r="G929" s="123"/>
      <c r="H929" s="123"/>
      <c r="I929" s="123"/>
      <c r="J929" s="174"/>
      <c r="K929" s="182"/>
      <c r="L929" s="123"/>
      <c r="M929" s="123"/>
      <c r="N929" s="123"/>
      <c r="O929" s="123"/>
      <c r="P929" s="123"/>
      <c r="Q929" s="123"/>
      <c r="R929" s="123"/>
      <c r="S929" s="123"/>
      <c r="T929" s="123"/>
      <c r="U929" s="123"/>
      <c r="V929" s="123"/>
      <c r="W929" s="123"/>
      <c r="X929" s="123"/>
      <c r="Y929" s="123"/>
    </row>
    <row r="930" spans="1:25" ht="15.75" customHeight="1" x14ac:dyDescent="0.2">
      <c r="A930" s="182"/>
      <c r="B930" s="175"/>
      <c r="C930" s="176"/>
      <c r="D930" s="176"/>
      <c r="E930" s="176"/>
      <c r="F930" s="123"/>
      <c r="G930" s="123"/>
      <c r="H930" s="123"/>
      <c r="I930" s="123"/>
      <c r="J930" s="174"/>
      <c r="K930" s="182"/>
      <c r="L930" s="123"/>
      <c r="M930" s="123"/>
      <c r="N930" s="123"/>
      <c r="O930" s="123"/>
      <c r="P930" s="123"/>
      <c r="Q930" s="123"/>
      <c r="R930" s="123"/>
      <c r="S930" s="123"/>
      <c r="T930" s="123"/>
      <c r="U930" s="123"/>
      <c r="V930" s="123"/>
      <c r="W930" s="123"/>
      <c r="X930" s="123"/>
      <c r="Y930" s="123"/>
    </row>
    <row r="931" spans="1:25" ht="15.75" customHeight="1" x14ac:dyDescent="0.2">
      <c r="A931" s="182"/>
      <c r="B931" s="175"/>
      <c r="C931" s="176"/>
      <c r="D931" s="176"/>
      <c r="E931" s="176"/>
      <c r="F931" s="123"/>
      <c r="G931" s="123"/>
      <c r="H931" s="123"/>
      <c r="I931" s="123"/>
      <c r="J931" s="174"/>
      <c r="K931" s="182"/>
      <c r="L931" s="123"/>
      <c r="M931" s="123"/>
      <c r="N931" s="123"/>
      <c r="O931" s="123"/>
      <c r="P931" s="123"/>
      <c r="Q931" s="123"/>
      <c r="R931" s="123"/>
      <c r="S931" s="123"/>
      <c r="T931" s="123"/>
      <c r="U931" s="123"/>
      <c r="V931" s="123"/>
      <c r="W931" s="123"/>
      <c r="X931" s="123"/>
      <c r="Y931" s="123"/>
    </row>
    <row r="932" spans="1:25" ht="15.75" customHeight="1" x14ac:dyDescent="0.2">
      <c r="A932" s="182"/>
      <c r="B932" s="175"/>
      <c r="C932" s="176"/>
      <c r="D932" s="176"/>
      <c r="E932" s="176"/>
      <c r="F932" s="123"/>
      <c r="G932" s="123"/>
      <c r="H932" s="123"/>
      <c r="I932" s="123"/>
      <c r="J932" s="174"/>
      <c r="K932" s="182"/>
      <c r="L932" s="123"/>
      <c r="M932" s="123"/>
      <c r="N932" s="123"/>
      <c r="O932" s="123"/>
      <c r="P932" s="123"/>
      <c r="Q932" s="123"/>
      <c r="R932" s="123"/>
      <c r="S932" s="123"/>
      <c r="T932" s="123"/>
      <c r="U932" s="123"/>
      <c r="V932" s="123"/>
      <c r="W932" s="123"/>
      <c r="X932" s="123"/>
      <c r="Y932" s="123"/>
    </row>
    <row r="933" spans="1:25" ht="15.75" customHeight="1" x14ac:dyDescent="0.2">
      <c r="A933" s="182"/>
      <c r="B933" s="175"/>
      <c r="C933" s="176"/>
      <c r="D933" s="176"/>
      <c r="E933" s="176"/>
      <c r="F933" s="123"/>
      <c r="G933" s="123"/>
      <c r="H933" s="123"/>
      <c r="I933" s="123"/>
      <c r="J933" s="174"/>
      <c r="K933" s="182"/>
      <c r="L933" s="123"/>
      <c r="M933" s="123"/>
      <c r="N933" s="123"/>
      <c r="O933" s="123"/>
      <c r="P933" s="123"/>
      <c r="Q933" s="123"/>
      <c r="R933" s="123"/>
      <c r="S933" s="123"/>
      <c r="T933" s="123"/>
      <c r="U933" s="123"/>
      <c r="V933" s="123"/>
      <c r="W933" s="123"/>
      <c r="X933" s="123"/>
      <c r="Y933" s="123"/>
    </row>
    <row r="934" spans="1:25" ht="15.75" customHeight="1" x14ac:dyDescent="0.2">
      <c r="A934" s="182"/>
      <c r="B934" s="175"/>
      <c r="C934" s="176"/>
      <c r="D934" s="176"/>
      <c r="E934" s="176"/>
      <c r="F934" s="123"/>
      <c r="G934" s="123"/>
      <c r="H934" s="123"/>
      <c r="I934" s="123"/>
      <c r="J934" s="174"/>
      <c r="K934" s="182"/>
      <c r="L934" s="123"/>
      <c r="M934" s="123"/>
      <c r="N934" s="123"/>
      <c r="O934" s="123"/>
      <c r="P934" s="123"/>
      <c r="Q934" s="123"/>
      <c r="R934" s="123"/>
      <c r="S934" s="123"/>
      <c r="T934" s="123"/>
      <c r="U934" s="123"/>
      <c r="V934" s="123"/>
      <c r="W934" s="123"/>
      <c r="X934" s="123"/>
      <c r="Y934" s="123"/>
    </row>
    <row r="935" spans="1:25" ht="15.75" customHeight="1" x14ac:dyDescent="0.2">
      <c r="A935" s="182"/>
      <c r="B935" s="175"/>
      <c r="C935" s="176"/>
      <c r="D935" s="176"/>
      <c r="E935" s="176"/>
      <c r="F935" s="123"/>
      <c r="G935" s="123"/>
      <c r="H935" s="123"/>
      <c r="I935" s="123"/>
      <c r="J935" s="174"/>
      <c r="K935" s="182"/>
      <c r="L935" s="123"/>
      <c r="M935" s="123"/>
      <c r="N935" s="123"/>
      <c r="O935" s="123"/>
      <c r="P935" s="123"/>
      <c r="Q935" s="123"/>
      <c r="R935" s="123"/>
      <c r="S935" s="123"/>
      <c r="T935" s="123"/>
      <c r="U935" s="123"/>
      <c r="V935" s="123"/>
      <c r="W935" s="123"/>
      <c r="X935" s="123"/>
      <c r="Y935" s="123"/>
    </row>
    <row r="936" spans="1:25" ht="15.75" customHeight="1" x14ac:dyDescent="0.2">
      <c r="A936" s="182"/>
      <c r="B936" s="175"/>
      <c r="C936" s="176"/>
      <c r="D936" s="176"/>
      <c r="E936" s="176"/>
      <c r="F936" s="123"/>
      <c r="G936" s="123"/>
      <c r="H936" s="123"/>
      <c r="I936" s="123"/>
      <c r="J936" s="174"/>
      <c r="K936" s="182"/>
      <c r="L936" s="123"/>
      <c r="M936" s="123"/>
      <c r="N936" s="123"/>
      <c r="O936" s="123"/>
      <c r="P936" s="123"/>
      <c r="Q936" s="123"/>
      <c r="R936" s="123"/>
      <c r="S936" s="123"/>
      <c r="T936" s="123"/>
      <c r="U936" s="123"/>
      <c r="V936" s="123"/>
      <c r="W936" s="123"/>
      <c r="X936" s="123"/>
      <c r="Y936" s="123"/>
    </row>
    <row r="937" spans="1:25" ht="15.75" customHeight="1" x14ac:dyDescent="0.2">
      <c r="A937" s="182"/>
      <c r="B937" s="175"/>
      <c r="C937" s="176"/>
      <c r="D937" s="176"/>
      <c r="E937" s="176"/>
      <c r="F937" s="123"/>
      <c r="G937" s="123"/>
      <c r="H937" s="123"/>
      <c r="I937" s="123"/>
      <c r="J937" s="174"/>
      <c r="K937" s="182"/>
      <c r="L937" s="123"/>
      <c r="M937" s="123"/>
      <c r="N937" s="123"/>
      <c r="O937" s="123"/>
      <c r="P937" s="123"/>
      <c r="Q937" s="123"/>
      <c r="R937" s="123"/>
      <c r="S937" s="123"/>
      <c r="T937" s="123"/>
      <c r="U937" s="123"/>
      <c r="V937" s="123"/>
      <c r="W937" s="123"/>
      <c r="X937" s="123"/>
      <c r="Y937" s="123"/>
    </row>
    <row r="938" spans="1:25" ht="15.75" customHeight="1" x14ac:dyDescent="0.2">
      <c r="A938" s="182"/>
      <c r="B938" s="175"/>
      <c r="C938" s="176"/>
      <c r="D938" s="176"/>
      <c r="E938" s="176"/>
      <c r="F938" s="123"/>
      <c r="G938" s="123"/>
      <c r="H938" s="123"/>
      <c r="I938" s="123"/>
      <c r="J938" s="174"/>
      <c r="K938" s="182"/>
      <c r="L938" s="123"/>
      <c r="M938" s="123"/>
      <c r="N938" s="123"/>
      <c r="O938" s="123"/>
      <c r="P938" s="123"/>
      <c r="Q938" s="123"/>
      <c r="R938" s="123"/>
      <c r="S938" s="123"/>
      <c r="T938" s="123"/>
      <c r="U938" s="123"/>
      <c r="V938" s="123"/>
      <c r="W938" s="123"/>
      <c r="X938" s="123"/>
      <c r="Y938" s="123"/>
    </row>
    <row r="939" spans="1:25" ht="15.75" customHeight="1" x14ac:dyDescent="0.2">
      <c r="A939" s="182"/>
      <c r="B939" s="175"/>
      <c r="C939" s="176"/>
      <c r="D939" s="176"/>
      <c r="E939" s="176"/>
      <c r="F939" s="123"/>
      <c r="G939" s="123"/>
      <c r="H939" s="123"/>
      <c r="I939" s="123"/>
      <c r="J939" s="174"/>
      <c r="K939" s="182"/>
      <c r="L939" s="123"/>
      <c r="M939" s="123"/>
      <c r="N939" s="123"/>
      <c r="O939" s="123"/>
      <c r="P939" s="123"/>
      <c r="Q939" s="123"/>
      <c r="R939" s="123"/>
      <c r="S939" s="123"/>
      <c r="T939" s="123"/>
      <c r="U939" s="123"/>
      <c r="V939" s="123"/>
      <c r="W939" s="123"/>
      <c r="X939" s="123"/>
      <c r="Y939" s="123"/>
    </row>
    <row r="940" spans="1:25" ht="15.75" customHeight="1" x14ac:dyDescent="0.2">
      <c r="A940" s="182"/>
      <c r="B940" s="175"/>
      <c r="C940" s="176"/>
      <c r="D940" s="176"/>
      <c r="E940" s="176"/>
      <c r="F940" s="123"/>
      <c r="G940" s="123"/>
      <c r="H940" s="123"/>
      <c r="I940" s="123"/>
      <c r="J940" s="174"/>
      <c r="K940" s="182"/>
      <c r="L940" s="123"/>
      <c r="M940" s="123"/>
      <c r="N940" s="123"/>
      <c r="O940" s="123"/>
      <c r="P940" s="123"/>
      <c r="Q940" s="123"/>
      <c r="R940" s="123"/>
      <c r="S940" s="123"/>
      <c r="T940" s="123"/>
      <c r="U940" s="123"/>
      <c r="V940" s="123"/>
      <c r="W940" s="123"/>
      <c r="X940" s="123"/>
      <c r="Y940" s="123"/>
    </row>
    <row r="941" spans="1:25" ht="15.75" customHeight="1" x14ac:dyDescent="0.2">
      <c r="A941" s="182"/>
      <c r="B941" s="175"/>
      <c r="C941" s="176"/>
      <c r="D941" s="176"/>
      <c r="E941" s="176"/>
      <c r="F941" s="123"/>
      <c r="G941" s="123"/>
      <c r="H941" s="123"/>
      <c r="I941" s="123"/>
      <c r="J941" s="174"/>
      <c r="K941" s="182"/>
      <c r="L941" s="123"/>
      <c r="M941" s="123"/>
      <c r="N941" s="123"/>
      <c r="O941" s="123"/>
      <c r="P941" s="123"/>
      <c r="Q941" s="123"/>
      <c r="R941" s="123"/>
      <c r="S941" s="123"/>
      <c r="T941" s="123"/>
      <c r="U941" s="123"/>
      <c r="V941" s="123"/>
      <c r="W941" s="123"/>
      <c r="X941" s="123"/>
      <c r="Y941" s="123"/>
    </row>
    <row r="942" spans="1:25" ht="15.75" customHeight="1" x14ac:dyDescent="0.2">
      <c r="A942" s="182"/>
      <c r="B942" s="175"/>
      <c r="C942" s="176"/>
      <c r="D942" s="176"/>
      <c r="E942" s="176"/>
      <c r="F942" s="123"/>
      <c r="G942" s="123"/>
      <c r="H942" s="123"/>
      <c r="I942" s="123"/>
      <c r="J942" s="174"/>
      <c r="K942" s="182"/>
      <c r="L942" s="123"/>
      <c r="M942" s="123"/>
      <c r="N942" s="123"/>
      <c r="O942" s="123"/>
      <c r="P942" s="123"/>
      <c r="Q942" s="123"/>
      <c r="R942" s="123"/>
      <c r="S942" s="123"/>
      <c r="T942" s="123"/>
      <c r="U942" s="123"/>
      <c r="V942" s="123"/>
      <c r="W942" s="123"/>
      <c r="X942" s="123"/>
      <c r="Y942" s="123"/>
    </row>
    <row r="943" spans="1:25" ht="15.75" customHeight="1" x14ac:dyDescent="0.2">
      <c r="A943" s="182"/>
      <c r="B943" s="175"/>
      <c r="C943" s="176"/>
      <c r="D943" s="176"/>
      <c r="E943" s="176"/>
      <c r="F943" s="123"/>
      <c r="G943" s="123"/>
      <c r="H943" s="123"/>
      <c r="I943" s="123"/>
      <c r="J943" s="174"/>
      <c r="K943" s="182"/>
      <c r="L943" s="123"/>
      <c r="M943" s="123"/>
      <c r="N943" s="123"/>
      <c r="O943" s="123"/>
      <c r="P943" s="123"/>
      <c r="Q943" s="123"/>
      <c r="R943" s="123"/>
      <c r="S943" s="123"/>
      <c r="T943" s="123"/>
      <c r="U943" s="123"/>
      <c r="V943" s="123"/>
      <c r="W943" s="123"/>
      <c r="X943" s="123"/>
      <c r="Y943" s="123"/>
    </row>
    <row r="944" spans="1:25" ht="15.75" customHeight="1" x14ac:dyDescent="0.2">
      <c r="A944" s="182"/>
      <c r="B944" s="175"/>
      <c r="C944" s="176"/>
      <c r="D944" s="176"/>
      <c r="E944" s="176"/>
      <c r="F944" s="123"/>
      <c r="G944" s="123"/>
      <c r="H944" s="123"/>
      <c r="I944" s="123"/>
      <c r="J944" s="174"/>
      <c r="K944" s="182"/>
      <c r="L944" s="123"/>
      <c r="M944" s="123"/>
      <c r="N944" s="123"/>
      <c r="O944" s="123"/>
      <c r="P944" s="123"/>
      <c r="Q944" s="123"/>
      <c r="R944" s="123"/>
      <c r="S944" s="123"/>
      <c r="T944" s="123"/>
      <c r="U944" s="123"/>
      <c r="V944" s="123"/>
      <c r="W944" s="123"/>
      <c r="X944" s="123"/>
      <c r="Y944" s="123"/>
    </row>
    <row r="945" spans="1:25" ht="15.75" customHeight="1" x14ac:dyDescent="0.2">
      <c r="A945" s="182"/>
      <c r="B945" s="175"/>
      <c r="C945" s="176"/>
      <c r="D945" s="176"/>
      <c r="E945" s="176"/>
      <c r="F945" s="123"/>
      <c r="G945" s="123"/>
      <c r="H945" s="123"/>
      <c r="I945" s="123"/>
      <c r="J945" s="174"/>
      <c r="K945" s="182"/>
      <c r="L945" s="123"/>
      <c r="M945" s="123"/>
      <c r="N945" s="123"/>
      <c r="O945" s="123"/>
      <c r="P945" s="123"/>
      <c r="Q945" s="123"/>
      <c r="R945" s="123"/>
      <c r="S945" s="123"/>
      <c r="T945" s="123"/>
      <c r="U945" s="123"/>
      <c r="V945" s="123"/>
      <c r="W945" s="123"/>
      <c r="X945" s="123"/>
      <c r="Y945" s="123"/>
    </row>
    <row r="946" spans="1:25" ht="15.75" customHeight="1" x14ac:dyDescent="0.2">
      <c r="A946" s="182"/>
      <c r="B946" s="175"/>
      <c r="C946" s="176"/>
      <c r="D946" s="176"/>
      <c r="E946" s="176"/>
      <c r="F946" s="123"/>
      <c r="G946" s="123"/>
      <c r="H946" s="123"/>
      <c r="I946" s="123"/>
      <c r="J946" s="174"/>
      <c r="K946" s="182"/>
      <c r="L946" s="123"/>
      <c r="M946" s="123"/>
      <c r="N946" s="123"/>
      <c r="O946" s="123"/>
      <c r="P946" s="123"/>
      <c r="Q946" s="123"/>
      <c r="R946" s="123"/>
      <c r="S946" s="123"/>
      <c r="T946" s="123"/>
      <c r="U946" s="123"/>
      <c r="V946" s="123"/>
      <c r="W946" s="123"/>
      <c r="X946" s="123"/>
      <c r="Y946" s="123"/>
    </row>
    <row r="947" spans="1:25" ht="15.75" customHeight="1" x14ac:dyDescent="0.2">
      <c r="A947" s="182"/>
      <c r="B947" s="175"/>
      <c r="C947" s="176"/>
      <c r="D947" s="176"/>
      <c r="E947" s="176"/>
      <c r="F947" s="123"/>
      <c r="G947" s="123"/>
      <c r="H947" s="123"/>
      <c r="I947" s="123"/>
      <c r="J947" s="174"/>
      <c r="K947" s="182"/>
      <c r="L947" s="123"/>
      <c r="M947" s="123"/>
      <c r="N947" s="123"/>
      <c r="O947" s="123"/>
      <c r="P947" s="123"/>
      <c r="Q947" s="123"/>
      <c r="R947" s="123"/>
      <c r="S947" s="123"/>
      <c r="T947" s="123"/>
      <c r="U947" s="123"/>
      <c r="V947" s="123"/>
      <c r="W947" s="123"/>
      <c r="X947" s="123"/>
      <c r="Y947" s="123"/>
    </row>
    <row r="948" spans="1:25" ht="15.75" customHeight="1" x14ac:dyDescent="0.2">
      <c r="A948" s="182"/>
      <c r="B948" s="175"/>
      <c r="C948" s="176"/>
      <c r="D948" s="176"/>
      <c r="E948" s="176"/>
      <c r="F948" s="123"/>
      <c r="G948" s="123"/>
      <c r="H948" s="123"/>
      <c r="I948" s="123"/>
      <c r="J948" s="174"/>
      <c r="K948" s="182"/>
      <c r="L948" s="123"/>
      <c r="M948" s="123"/>
      <c r="N948" s="123"/>
      <c r="O948" s="123"/>
      <c r="P948" s="123"/>
      <c r="Q948" s="123"/>
      <c r="R948" s="123"/>
      <c r="S948" s="123"/>
      <c r="T948" s="123"/>
      <c r="U948" s="123"/>
      <c r="V948" s="123"/>
      <c r="W948" s="123"/>
      <c r="X948" s="123"/>
      <c r="Y948" s="123"/>
    </row>
    <row r="949" spans="1:25" ht="15.75" customHeight="1" x14ac:dyDescent="0.2">
      <c r="A949" s="182"/>
      <c r="B949" s="175"/>
      <c r="C949" s="176"/>
      <c r="D949" s="176"/>
      <c r="E949" s="176"/>
      <c r="F949" s="123"/>
      <c r="G949" s="123"/>
      <c r="H949" s="123"/>
      <c r="I949" s="123"/>
      <c r="J949" s="174"/>
      <c r="K949" s="182"/>
      <c r="L949" s="123"/>
      <c r="M949" s="123"/>
      <c r="N949" s="123"/>
      <c r="O949" s="123"/>
      <c r="P949" s="123"/>
      <c r="Q949" s="123"/>
      <c r="R949" s="123"/>
      <c r="S949" s="123"/>
      <c r="T949" s="123"/>
      <c r="U949" s="123"/>
      <c r="V949" s="123"/>
      <c r="W949" s="123"/>
      <c r="X949" s="123"/>
      <c r="Y949" s="123"/>
    </row>
    <row r="950" spans="1:25" ht="15.75" customHeight="1" x14ac:dyDescent="0.2">
      <c r="A950" s="182"/>
      <c r="B950" s="175"/>
      <c r="C950" s="176"/>
      <c r="D950" s="176"/>
      <c r="E950" s="176"/>
      <c r="F950" s="123"/>
      <c r="G950" s="123"/>
      <c r="H950" s="123"/>
      <c r="I950" s="123"/>
      <c r="J950" s="174"/>
      <c r="K950" s="182"/>
      <c r="L950" s="123"/>
      <c r="M950" s="123"/>
      <c r="N950" s="123"/>
      <c r="O950" s="123"/>
      <c r="P950" s="123"/>
      <c r="Q950" s="123"/>
      <c r="R950" s="123"/>
      <c r="S950" s="123"/>
      <c r="T950" s="123"/>
      <c r="U950" s="123"/>
      <c r="V950" s="123"/>
      <c r="W950" s="123"/>
      <c r="X950" s="123"/>
      <c r="Y950" s="123"/>
    </row>
    <row r="951" spans="1:25" ht="15.75" customHeight="1" x14ac:dyDescent="0.2">
      <c r="A951" s="182"/>
      <c r="B951" s="175"/>
      <c r="C951" s="176"/>
      <c r="D951" s="176"/>
      <c r="E951" s="176"/>
      <c r="F951" s="123"/>
      <c r="G951" s="123"/>
      <c r="H951" s="123"/>
      <c r="I951" s="123"/>
      <c r="J951" s="174"/>
      <c r="K951" s="182"/>
      <c r="L951" s="123"/>
      <c r="M951" s="123"/>
      <c r="N951" s="123"/>
      <c r="O951" s="123"/>
      <c r="P951" s="123"/>
      <c r="Q951" s="123"/>
      <c r="R951" s="123"/>
      <c r="S951" s="123"/>
      <c r="T951" s="123"/>
      <c r="U951" s="123"/>
      <c r="V951" s="123"/>
      <c r="W951" s="123"/>
      <c r="X951" s="123"/>
      <c r="Y951" s="123"/>
    </row>
    <row r="952" spans="1:25" ht="15.75" customHeight="1" x14ac:dyDescent="0.2">
      <c r="A952" s="182"/>
      <c r="B952" s="175"/>
      <c r="C952" s="176"/>
      <c r="D952" s="176"/>
      <c r="E952" s="176"/>
      <c r="F952" s="123"/>
      <c r="G952" s="123"/>
      <c r="H952" s="123"/>
      <c r="I952" s="123"/>
      <c r="J952" s="174"/>
      <c r="K952" s="182"/>
      <c r="L952" s="123"/>
      <c r="M952" s="123"/>
      <c r="N952" s="123"/>
      <c r="O952" s="123"/>
      <c r="P952" s="123"/>
      <c r="Q952" s="123"/>
      <c r="R952" s="123"/>
      <c r="S952" s="123"/>
      <c r="T952" s="123"/>
      <c r="U952" s="123"/>
      <c r="V952" s="123"/>
      <c r="W952" s="123"/>
      <c r="X952" s="123"/>
      <c r="Y952" s="123"/>
    </row>
    <row r="953" spans="1:25" ht="15.75" customHeight="1" x14ac:dyDescent="0.2">
      <c r="A953" s="182"/>
      <c r="B953" s="175"/>
      <c r="C953" s="176"/>
      <c r="D953" s="176"/>
      <c r="E953" s="176"/>
      <c r="F953" s="123"/>
      <c r="G953" s="123"/>
      <c r="H953" s="123"/>
      <c r="I953" s="123"/>
      <c r="J953" s="174"/>
      <c r="K953" s="182"/>
      <c r="L953" s="123"/>
      <c r="M953" s="123"/>
      <c r="N953" s="123"/>
      <c r="O953" s="123"/>
      <c r="P953" s="123"/>
      <c r="Q953" s="123"/>
      <c r="R953" s="123"/>
      <c r="S953" s="123"/>
      <c r="T953" s="123"/>
      <c r="U953" s="123"/>
      <c r="V953" s="123"/>
      <c r="W953" s="123"/>
      <c r="X953" s="123"/>
      <c r="Y953" s="123"/>
    </row>
    <row r="954" spans="1:25" ht="15.75" customHeight="1" x14ac:dyDescent="0.2">
      <c r="A954" s="182"/>
      <c r="B954" s="175"/>
      <c r="C954" s="176"/>
      <c r="D954" s="176"/>
      <c r="E954" s="176"/>
      <c r="F954" s="123"/>
      <c r="G954" s="123"/>
      <c r="H954" s="123"/>
      <c r="I954" s="123"/>
      <c r="J954" s="174"/>
      <c r="K954" s="182"/>
      <c r="L954" s="123"/>
      <c r="M954" s="123"/>
      <c r="N954" s="123"/>
      <c r="O954" s="123"/>
      <c r="P954" s="123"/>
      <c r="Q954" s="123"/>
      <c r="R954" s="123"/>
      <c r="S954" s="123"/>
      <c r="T954" s="123"/>
      <c r="U954" s="123"/>
      <c r="V954" s="123"/>
      <c r="W954" s="123"/>
      <c r="X954" s="123"/>
      <c r="Y954" s="123"/>
    </row>
    <row r="955" spans="1:25" ht="15.75" customHeight="1" x14ac:dyDescent="0.2">
      <c r="A955" s="182"/>
      <c r="B955" s="175"/>
      <c r="C955" s="176"/>
      <c r="D955" s="176"/>
      <c r="E955" s="176"/>
      <c r="F955" s="123"/>
      <c r="G955" s="123"/>
      <c r="H955" s="123"/>
      <c r="I955" s="123"/>
      <c r="J955" s="174"/>
      <c r="K955" s="182"/>
      <c r="L955" s="123"/>
      <c r="M955" s="123"/>
      <c r="N955" s="123"/>
      <c r="O955" s="123"/>
      <c r="P955" s="123"/>
      <c r="Q955" s="123"/>
      <c r="R955" s="123"/>
      <c r="S955" s="123"/>
      <c r="T955" s="123"/>
      <c r="U955" s="123"/>
      <c r="V955" s="123"/>
      <c r="W955" s="123"/>
      <c r="X955" s="123"/>
      <c r="Y955" s="123"/>
    </row>
    <row r="956" spans="1:25" ht="15.75" customHeight="1" x14ac:dyDescent="0.2">
      <c r="A956" s="182"/>
      <c r="B956" s="175"/>
      <c r="C956" s="176"/>
      <c r="D956" s="176"/>
      <c r="E956" s="176"/>
      <c r="F956" s="123"/>
      <c r="G956" s="123"/>
      <c r="H956" s="123"/>
      <c r="I956" s="123"/>
      <c r="J956" s="174"/>
      <c r="K956" s="182"/>
      <c r="L956" s="123"/>
      <c r="M956" s="123"/>
      <c r="N956" s="123"/>
      <c r="O956" s="123"/>
      <c r="P956" s="123"/>
      <c r="Q956" s="123"/>
      <c r="R956" s="123"/>
      <c r="S956" s="123"/>
      <c r="T956" s="123"/>
      <c r="U956" s="123"/>
      <c r="V956" s="123"/>
      <c r="W956" s="123"/>
      <c r="X956" s="123"/>
      <c r="Y956" s="123"/>
    </row>
    <row r="957" spans="1:25" ht="15.75" customHeight="1" x14ac:dyDescent="0.2">
      <c r="A957" s="182"/>
      <c r="B957" s="175"/>
      <c r="C957" s="176"/>
      <c r="D957" s="176"/>
      <c r="E957" s="176"/>
      <c r="F957" s="123"/>
      <c r="G957" s="123"/>
      <c r="H957" s="123"/>
      <c r="I957" s="123"/>
      <c r="J957" s="174"/>
      <c r="K957" s="182"/>
      <c r="L957" s="123"/>
      <c r="M957" s="123"/>
      <c r="N957" s="123"/>
      <c r="O957" s="123"/>
      <c r="P957" s="123"/>
      <c r="Q957" s="123"/>
      <c r="R957" s="123"/>
      <c r="S957" s="123"/>
      <c r="T957" s="123"/>
      <c r="U957" s="123"/>
      <c r="V957" s="123"/>
      <c r="W957" s="123"/>
      <c r="X957" s="123"/>
      <c r="Y957" s="123"/>
    </row>
    <row r="958" spans="1:25" ht="15.75" customHeight="1" x14ac:dyDescent="0.2">
      <c r="A958" s="182"/>
      <c r="B958" s="175"/>
      <c r="C958" s="176"/>
      <c r="D958" s="176"/>
      <c r="E958" s="176"/>
      <c r="F958" s="123"/>
      <c r="G958" s="123"/>
      <c r="H958" s="123"/>
      <c r="I958" s="123"/>
      <c r="J958" s="174"/>
      <c r="K958" s="182"/>
      <c r="L958" s="123"/>
      <c r="M958" s="123"/>
      <c r="N958" s="123"/>
      <c r="O958" s="123"/>
      <c r="P958" s="123"/>
      <c r="Q958" s="123"/>
      <c r="R958" s="123"/>
      <c r="S958" s="123"/>
      <c r="T958" s="123"/>
      <c r="U958" s="123"/>
      <c r="V958" s="123"/>
      <c r="W958" s="123"/>
      <c r="X958" s="123"/>
      <c r="Y958" s="123"/>
    </row>
    <row r="959" spans="1:25" ht="15.75" customHeight="1" x14ac:dyDescent="0.2">
      <c r="A959" s="182"/>
      <c r="B959" s="175"/>
      <c r="C959" s="176"/>
      <c r="D959" s="176"/>
      <c r="E959" s="176"/>
      <c r="F959" s="123"/>
      <c r="G959" s="123"/>
      <c r="H959" s="123"/>
      <c r="I959" s="123"/>
      <c r="J959" s="174"/>
      <c r="K959" s="182"/>
      <c r="L959" s="123"/>
      <c r="M959" s="123"/>
      <c r="N959" s="123"/>
      <c r="O959" s="123"/>
      <c r="P959" s="123"/>
      <c r="Q959" s="123"/>
      <c r="R959" s="123"/>
      <c r="S959" s="123"/>
      <c r="T959" s="123"/>
      <c r="U959" s="123"/>
      <c r="V959" s="123"/>
      <c r="W959" s="123"/>
      <c r="X959" s="123"/>
      <c r="Y959" s="123"/>
    </row>
    <row r="960" spans="1:25" ht="15.75" customHeight="1" x14ac:dyDescent="0.2">
      <c r="A960" s="182"/>
      <c r="B960" s="175"/>
      <c r="C960" s="176"/>
      <c r="D960" s="176"/>
      <c r="E960" s="176"/>
      <c r="F960" s="123"/>
      <c r="G960" s="123"/>
      <c r="H960" s="123"/>
      <c r="I960" s="123"/>
      <c r="J960" s="174"/>
      <c r="K960" s="182"/>
      <c r="L960" s="123"/>
      <c r="M960" s="123"/>
      <c r="N960" s="123"/>
      <c r="O960" s="123"/>
      <c r="P960" s="123"/>
      <c r="Q960" s="123"/>
      <c r="R960" s="123"/>
      <c r="S960" s="123"/>
      <c r="T960" s="123"/>
      <c r="U960" s="123"/>
      <c r="V960" s="123"/>
      <c r="W960" s="123"/>
      <c r="X960" s="123"/>
      <c r="Y960" s="123"/>
    </row>
    <row r="961" spans="1:25" ht="15.75" customHeight="1" x14ac:dyDescent="0.2">
      <c r="A961" s="182"/>
      <c r="B961" s="175"/>
      <c r="C961" s="176"/>
      <c r="D961" s="176"/>
      <c r="E961" s="176"/>
      <c r="F961" s="123"/>
      <c r="G961" s="123"/>
      <c r="H961" s="123"/>
      <c r="I961" s="123"/>
      <c r="J961" s="174"/>
      <c r="K961" s="182"/>
      <c r="L961" s="123"/>
      <c r="M961" s="123"/>
      <c r="N961" s="123"/>
      <c r="O961" s="123"/>
      <c r="P961" s="123"/>
      <c r="Q961" s="123"/>
      <c r="R961" s="123"/>
      <c r="S961" s="123"/>
      <c r="T961" s="123"/>
      <c r="U961" s="123"/>
      <c r="V961" s="123"/>
      <c r="W961" s="123"/>
      <c r="X961" s="123"/>
      <c r="Y961" s="123"/>
    </row>
    <row r="962" spans="1:25" ht="15.75" customHeight="1" x14ac:dyDescent="0.2">
      <c r="A962" s="182"/>
      <c r="B962" s="175"/>
      <c r="C962" s="176"/>
      <c r="D962" s="176"/>
      <c r="E962" s="176"/>
      <c r="F962" s="123"/>
      <c r="G962" s="123"/>
      <c r="H962" s="123"/>
      <c r="I962" s="123"/>
      <c r="J962" s="174"/>
      <c r="K962" s="182"/>
      <c r="L962" s="123"/>
      <c r="M962" s="123"/>
      <c r="N962" s="123"/>
      <c r="O962" s="123"/>
      <c r="P962" s="123"/>
      <c r="Q962" s="123"/>
      <c r="R962" s="123"/>
      <c r="S962" s="123"/>
      <c r="T962" s="123"/>
      <c r="U962" s="123"/>
      <c r="V962" s="123"/>
      <c r="W962" s="123"/>
      <c r="X962" s="123"/>
      <c r="Y962" s="123"/>
    </row>
    <row r="963" spans="1:25" ht="15.75" customHeight="1" x14ac:dyDescent="0.2">
      <c r="A963" s="182"/>
      <c r="B963" s="175"/>
      <c r="C963" s="176"/>
      <c r="D963" s="176"/>
      <c r="E963" s="176"/>
      <c r="F963" s="123"/>
      <c r="G963" s="123"/>
      <c r="H963" s="123"/>
      <c r="I963" s="123"/>
      <c r="J963" s="174"/>
      <c r="K963" s="182"/>
      <c r="L963" s="123"/>
      <c r="M963" s="123"/>
      <c r="N963" s="123"/>
      <c r="O963" s="123"/>
      <c r="P963" s="123"/>
      <c r="Q963" s="123"/>
      <c r="R963" s="123"/>
      <c r="S963" s="123"/>
      <c r="T963" s="123"/>
      <c r="U963" s="123"/>
      <c r="V963" s="123"/>
      <c r="W963" s="123"/>
      <c r="X963" s="123"/>
      <c r="Y963" s="123"/>
    </row>
    <row r="964" spans="1:25" ht="15.75" customHeight="1" x14ac:dyDescent="0.2">
      <c r="A964" s="182"/>
      <c r="B964" s="175"/>
      <c r="C964" s="176"/>
      <c r="D964" s="176"/>
      <c r="E964" s="176"/>
      <c r="F964" s="123"/>
      <c r="G964" s="123"/>
      <c r="H964" s="123"/>
      <c r="I964" s="123"/>
      <c r="J964" s="174"/>
      <c r="K964" s="182"/>
      <c r="L964" s="123"/>
      <c r="M964" s="123"/>
      <c r="N964" s="123"/>
      <c r="O964" s="123"/>
      <c r="P964" s="123"/>
      <c r="Q964" s="123"/>
      <c r="R964" s="123"/>
      <c r="S964" s="123"/>
      <c r="T964" s="123"/>
      <c r="U964" s="123"/>
      <c r="V964" s="123"/>
      <c r="W964" s="123"/>
      <c r="X964" s="123"/>
      <c r="Y964" s="123"/>
    </row>
    <row r="965" spans="1:25" ht="15.75" customHeight="1" x14ac:dyDescent="0.2">
      <c r="A965" s="182"/>
      <c r="B965" s="175"/>
      <c r="C965" s="176"/>
      <c r="D965" s="176"/>
      <c r="E965" s="176"/>
      <c r="F965" s="123"/>
      <c r="G965" s="123"/>
      <c r="H965" s="123"/>
      <c r="I965" s="123"/>
      <c r="J965" s="174"/>
      <c r="K965" s="182"/>
      <c r="L965" s="123"/>
      <c r="M965" s="123"/>
      <c r="N965" s="123"/>
      <c r="O965" s="123"/>
      <c r="P965" s="123"/>
      <c r="Q965" s="123"/>
      <c r="R965" s="123"/>
      <c r="S965" s="123"/>
      <c r="T965" s="123"/>
      <c r="U965" s="123"/>
      <c r="V965" s="123"/>
      <c r="W965" s="123"/>
      <c r="X965" s="123"/>
      <c r="Y965" s="123"/>
    </row>
    <row r="966" spans="1:25" ht="15.75" customHeight="1" x14ac:dyDescent="0.2">
      <c r="A966" s="182"/>
      <c r="B966" s="175"/>
      <c r="C966" s="176"/>
      <c r="D966" s="176"/>
      <c r="E966" s="176"/>
      <c r="F966" s="123"/>
      <c r="G966" s="123"/>
      <c r="H966" s="123"/>
      <c r="I966" s="123"/>
      <c r="J966" s="174"/>
      <c r="K966" s="182"/>
      <c r="L966" s="123"/>
      <c r="M966" s="123"/>
      <c r="N966" s="123"/>
      <c r="O966" s="123"/>
      <c r="P966" s="123"/>
      <c r="Q966" s="123"/>
      <c r="R966" s="123"/>
      <c r="S966" s="123"/>
      <c r="T966" s="123"/>
      <c r="U966" s="123"/>
      <c r="V966" s="123"/>
      <c r="W966" s="123"/>
      <c r="X966" s="123"/>
      <c r="Y966" s="123"/>
    </row>
    <row r="967" spans="1:25" ht="15.75" customHeight="1" x14ac:dyDescent="0.2">
      <c r="A967" s="182"/>
      <c r="B967" s="175"/>
      <c r="C967" s="176"/>
      <c r="D967" s="176"/>
      <c r="E967" s="176"/>
      <c r="F967" s="123"/>
      <c r="G967" s="123"/>
      <c r="H967" s="123"/>
      <c r="I967" s="123"/>
      <c r="J967" s="174"/>
      <c r="K967" s="182"/>
      <c r="L967" s="123"/>
      <c r="M967" s="123"/>
      <c r="N967" s="123"/>
      <c r="O967" s="123"/>
      <c r="P967" s="123"/>
      <c r="Q967" s="123"/>
      <c r="R967" s="123"/>
      <c r="S967" s="123"/>
      <c r="T967" s="123"/>
      <c r="U967" s="123"/>
      <c r="V967" s="123"/>
      <c r="W967" s="123"/>
      <c r="X967" s="123"/>
      <c r="Y967" s="123"/>
    </row>
    <row r="968" spans="1:25" ht="15.75" customHeight="1" x14ac:dyDescent="0.2">
      <c r="A968" s="182"/>
      <c r="B968" s="175"/>
      <c r="C968" s="176"/>
      <c r="D968" s="176"/>
      <c r="E968" s="176"/>
      <c r="F968" s="123"/>
      <c r="G968" s="123"/>
      <c r="H968" s="123"/>
      <c r="I968" s="123"/>
      <c r="J968" s="174"/>
      <c r="K968" s="182"/>
      <c r="L968" s="123"/>
      <c r="M968" s="123"/>
      <c r="N968" s="123"/>
      <c r="O968" s="123"/>
      <c r="P968" s="123"/>
      <c r="Q968" s="123"/>
      <c r="R968" s="123"/>
      <c r="S968" s="123"/>
      <c r="T968" s="123"/>
      <c r="U968" s="123"/>
      <c r="V968" s="123"/>
      <c r="W968" s="123"/>
      <c r="X968" s="123"/>
      <c r="Y968" s="123"/>
    </row>
    <row r="969" spans="1:25" ht="15.75" customHeight="1" x14ac:dyDescent="0.2">
      <c r="A969" s="182"/>
      <c r="B969" s="175"/>
      <c r="C969" s="176"/>
      <c r="D969" s="176"/>
      <c r="E969" s="176"/>
      <c r="F969" s="123"/>
      <c r="G969" s="123"/>
      <c r="H969" s="123"/>
      <c r="I969" s="123"/>
      <c r="J969" s="174"/>
      <c r="K969" s="182"/>
      <c r="L969" s="123"/>
      <c r="M969" s="123"/>
      <c r="N969" s="123"/>
      <c r="O969" s="123"/>
      <c r="P969" s="123"/>
      <c r="Q969" s="123"/>
      <c r="R969" s="123"/>
      <c r="S969" s="123"/>
      <c r="T969" s="123"/>
      <c r="U969" s="123"/>
      <c r="V969" s="123"/>
      <c r="W969" s="123"/>
      <c r="X969" s="123"/>
      <c r="Y969" s="123"/>
    </row>
    <row r="970" spans="1:25" ht="15.75" customHeight="1" x14ac:dyDescent="0.2">
      <c r="A970" s="182"/>
      <c r="B970" s="175"/>
      <c r="C970" s="176"/>
      <c r="D970" s="176"/>
      <c r="E970" s="176"/>
      <c r="F970" s="123"/>
      <c r="G970" s="123"/>
      <c r="H970" s="123"/>
      <c r="I970" s="123"/>
      <c r="J970" s="174"/>
      <c r="K970" s="182"/>
      <c r="L970" s="123"/>
      <c r="M970" s="123"/>
      <c r="N970" s="123"/>
      <c r="O970" s="123"/>
      <c r="P970" s="123"/>
      <c r="Q970" s="123"/>
      <c r="R970" s="123"/>
      <c r="S970" s="123"/>
      <c r="T970" s="123"/>
      <c r="U970" s="123"/>
      <c r="V970" s="123"/>
      <c r="W970" s="123"/>
      <c r="X970" s="123"/>
      <c r="Y970" s="123"/>
    </row>
    <row r="971" spans="1:25" ht="15.75" customHeight="1" x14ac:dyDescent="0.2">
      <c r="A971" s="182"/>
      <c r="B971" s="175"/>
      <c r="C971" s="176"/>
      <c r="D971" s="176"/>
      <c r="E971" s="176"/>
      <c r="F971" s="123"/>
      <c r="G971" s="123"/>
      <c r="H971" s="123"/>
      <c r="I971" s="123"/>
      <c r="J971" s="174"/>
      <c r="K971" s="182"/>
      <c r="L971" s="123"/>
      <c r="M971" s="123"/>
      <c r="N971" s="123"/>
      <c r="O971" s="123"/>
      <c r="P971" s="123"/>
      <c r="Q971" s="123"/>
      <c r="R971" s="123"/>
      <c r="S971" s="123"/>
      <c r="T971" s="123"/>
      <c r="U971" s="123"/>
      <c r="V971" s="123"/>
      <c r="W971" s="123"/>
      <c r="X971" s="123"/>
      <c r="Y971" s="123"/>
    </row>
    <row r="972" spans="1:25" ht="15.75" customHeight="1" x14ac:dyDescent="0.2">
      <c r="A972" s="182"/>
      <c r="B972" s="175"/>
      <c r="C972" s="176"/>
      <c r="D972" s="176"/>
      <c r="E972" s="176"/>
      <c r="F972" s="123"/>
      <c r="G972" s="123"/>
      <c r="H972" s="123"/>
      <c r="I972" s="123"/>
      <c r="J972" s="174"/>
      <c r="K972" s="182"/>
      <c r="L972" s="123"/>
      <c r="M972" s="123"/>
      <c r="N972" s="123"/>
      <c r="O972" s="123"/>
      <c r="P972" s="123"/>
      <c r="Q972" s="123"/>
      <c r="R972" s="123"/>
      <c r="S972" s="123"/>
      <c r="T972" s="123"/>
      <c r="U972" s="123"/>
      <c r="V972" s="123"/>
      <c r="W972" s="123"/>
      <c r="X972" s="123"/>
      <c r="Y972" s="123"/>
    </row>
    <row r="973" spans="1:25" ht="15.75" customHeight="1" x14ac:dyDescent="0.2">
      <c r="A973" s="182"/>
      <c r="B973" s="175"/>
      <c r="C973" s="176"/>
      <c r="D973" s="176"/>
      <c r="E973" s="176"/>
      <c r="F973" s="123"/>
      <c r="G973" s="123"/>
      <c r="H973" s="123"/>
      <c r="I973" s="123"/>
      <c r="J973" s="174"/>
      <c r="K973" s="182"/>
      <c r="L973" s="123"/>
      <c r="M973" s="123"/>
      <c r="N973" s="123"/>
      <c r="O973" s="123"/>
      <c r="P973" s="123"/>
      <c r="Q973" s="123"/>
      <c r="R973" s="123"/>
      <c r="S973" s="123"/>
      <c r="T973" s="123"/>
      <c r="U973" s="123"/>
      <c r="V973" s="123"/>
      <c r="W973" s="123"/>
      <c r="X973" s="123"/>
      <c r="Y973" s="123"/>
    </row>
    <row r="974" spans="1:25" ht="15.75" customHeight="1" x14ac:dyDescent="0.2">
      <c r="A974" s="182"/>
      <c r="B974" s="175"/>
      <c r="C974" s="176"/>
      <c r="D974" s="176"/>
      <c r="E974" s="176"/>
      <c r="F974" s="123"/>
      <c r="G974" s="123"/>
      <c r="H974" s="123"/>
      <c r="I974" s="123"/>
      <c r="J974" s="174"/>
      <c r="K974" s="182"/>
      <c r="L974" s="123"/>
      <c r="M974" s="123"/>
      <c r="N974" s="123"/>
      <c r="O974" s="123"/>
      <c r="P974" s="123"/>
      <c r="Q974" s="123"/>
      <c r="R974" s="123"/>
      <c r="S974" s="123"/>
      <c r="T974" s="123"/>
      <c r="U974" s="123"/>
      <c r="V974" s="123"/>
      <c r="W974" s="123"/>
      <c r="X974" s="123"/>
      <c r="Y974" s="123"/>
    </row>
    <row r="975" spans="1:25" ht="15.75" customHeight="1" x14ac:dyDescent="0.2">
      <c r="A975" s="182"/>
      <c r="B975" s="175"/>
      <c r="C975" s="176"/>
      <c r="D975" s="176"/>
      <c r="E975" s="176"/>
      <c r="F975" s="123"/>
      <c r="G975" s="123"/>
      <c r="H975" s="123"/>
      <c r="I975" s="123"/>
      <c r="J975" s="174"/>
      <c r="K975" s="182"/>
      <c r="L975" s="123"/>
      <c r="M975" s="123"/>
      <c r="N975" s="123"/>
      <c r="O975" s="123"/>
      <c r="P975" s="123"/>
      <c r="Q975" s="123"/>
      <c r="R975" s="123"/>
      <c r="S975" s="123"/>
      <c r="T975" s="123"/>
      <c r="U975" s="123"/>
      <c r="V975" s="123"/>
      <c r="W975" s="123"/>
      <c r="X975" s="123"/>
      <c r="Y975" s="123"/>
    </row>
    <row r="976" spans="1:25" ht="15.75" customHeight="1" x14ac:dyDescent="0.2">
      <c r="A976" s="182"/>
      <c r="B976" s="175"/>
      <c r="C976" s="176"/>
      <c r="D976" s="176"/>
      <c r="E976" s="176"/>
      <c r="F976" s="123"/>
      <c r="G976" s="123"/>
      <c r="H976" s="123"/>
      <c r="I976" s="123"/>
      <c r="J976" s="174"/>
      <c r="K976" s="182"/>
      <c r="L976" s="123"/>
      <c r="M976" s="123"/>
      <c r="N976" s="123"/>
      <c r="O976" s="123"/>
      <c r="P976" s="123"/>
      <c r="Q976" s="123"/>
      <c r="R976" s="123"/>
      <c r="S976" s="123"/>
      <c r="T976" s="123"/>
      <c r="U976" s="123"/>
      <c r="V976" s="123"/>
      <c r="W976" s="123"/>
      <c r="X976" s="123"/>
      <c r="Y976" s="123"/>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7"/>
  <sheetViews>
    <sheetView zoomScale="80" zoomScaleNormal="80" workbookViewId="0"/>
  </sheetViews>
  <sheetFormatPr baseColWidth="10" defaultColWidth="11.42578125" defaultRowHeight="0" customHeight="1" zeroHeight="1" x14ac:dyDescent="0.25"/>
  <cols>
    <col min="1" max="1" width="2.42578125" style="119" customWidth="1"/>
    <col min="2" max="2" width="4.42578125" style="175" customWidth="1"/>
    <col min="3" max="3" width="32.28515625" style="176" customWidth="1"/>
    <col min="4" max="4" width="21.85546875" style="176" customWidth="1"/>
    <col min="5" max="5" width="30" style="176" customWidth="1"/>
    <col min="6" max="6" width="23.42578125" style="123" customWidth="1"/>
    <col min="7" max="8" width="13.42578125" style="123" customWidth="1"/>
    <col min="9" max="9" width="13.570312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798" t="s">
        <v>759</v>
      </c>
      <c r="D2" s="798"/>
      <c r="E2" s="798"/>
      <c r="F2" s="798"/>
      <c r="G2" s="798"/>
      <c r="H2" s="798"/>
      <c r="I2" s="798"/>
      <c r="J2" s="798"/>
    </row>
    <row r="3" spans="1:11" ht="18.75" customHeight="1" x14ac:dyDescent="0.25">
      <c r="B3" s="124"/>
      <c r="C3" s="125"/>
      <c r="D3" s="126"/>
      <c r="E3" s="125"/>
      <c r="F3" s="127"/>
      <c r="G3" s="128"/>
      <c r="H3" s="129"/>
      <c r="I3" s="129"/>
      <c r="J3" s="130"/>
    </row>
    <row r="4" spans="1:11" ht="75.75" customHeight="1" x14ac:dyDescent="0.25">
      <c r="B4" s="124"/>
      <c r="C4" s="131" t="s">
        <v>477</v>
      </c>
      <c r="D4" s="850" t="s">
        <v>760</v>
      </c>
      <c r="E4" s="850"/>
      <c r="F4" s="850"/>
      <c r="G4" s="850"/>
      <c r="H4" s="850"/>
      <c r="I4" s="850"/>
      <c r="J4" s="850"/>
    </row>
    <row r="5" spans="1:11" ht="8.25" customHeight="1" x14ac:dyDescent="0.25">
      <c r="B5" s="124"/>
      <c r="C5" s="132"/>
      <c r="D5" s="133"/>
      <c r="E5" s="125"/>
      <c r="F5" s="134"/>
      <c r="G5" s="134"/>
      <c r="H5" s="134"/>
      <c r="I5" s="134"/>
      <c r="J5" s="130"/>
    </row>
    <row r="6" spans="1:11" ht="18" customHeight="1" x14ac:dyDescent="0.25">
      <c r="B6" s="124"/>
      <c r="C6" s="131" t="s">
        <v>479</v>
      </c>
      <c r="D6" s="799">
        <v>1</v>
      </c>
      <c r="E6" s="799"/>
      <c r="F6" s="799"/>
      <c r="G6" s="799"/>
      <c r="H6" s="799"/>
      <c r="I6" s="306"/>
      <c r="J6" s="306"/>
    </row>
    <row r="7" spans="1:11" ht="8.25" customHeight="1" x14ac:dyDescent="0.25">
      <c r="B7" s="124"/>
      <c r="C7" s="136"/>
      <c r="D7" s="136"/>
      <c r="E7" s="136"/>
      <c r="F7" s="137"/>
      <c r="G7" s="137"/>
      <c r="H7" s="137"/>
      <c r="I7" s="137"/>
      <c r="J7" s="130"/>
    </row>
    <row r="8" spans="1:11" ht="18" customHeight="1" x14ac:dyDescent="0.25">
      <c r="B8" s="124"/>
      <c r="C8" s="131" t="s">
        <v>519</v>
      </c>
      <c r="D8" s="800">
        <v>44225</v>
      </c>
      <c r="E8" s="799"/>
      <c r="F8" s="799"/>
      <c r="G8" s="799"/>
      <c r="H8" s="799"/>
      <c r="I8" s="306"/>
      <c r="J8" s="306"/>
    </row>
    <row r="9" spans="1:11" ht="8.25" customHeight="1" thickBot="1" x14ac:dyDescent="0.3">
      <c r="B9" s="124"/>
      <c r="C9" s="138"/>
      <c r="D9" s="138"/>
      <c r="E9" s="138"/>
      <c r="F9" s="139"/>
      <c r="G9" s="139"/>
      <c r="H9" s="139"/>
      <c r="I9" s="139"/>
      <c r="J9" s="140"/>
    </row>
    <row r="10" spans="1:11" ht="18" customHeight="1" x14ac:dyDescent="0.25">
      <c r="B10" s="795" t="s">
        <v>357</v>
      </c>
      <c r="C10" s="818"/>
      <c r="D10" s="818"/>
      <c r="E10" s="818"/>
      <c r="F10" s="818"/>
      <c r="G10" s="818"/>
      <c r="H10" s="818"/>
      <c r="I10" s="818"/>
      <c r="J10" s="796"/>
    </row>
    <row r="11" spans="1:11" ht="18" customHeight="1" x14ac:dyDescent="0.25">
      <c r="B11" s="815" t="s">
        <v>358</v>
      </c>
      <c r="C11" s="805" t="s">
        <v>360</v>
      </c>
      <c r="D11" s="805" t="s">
        <v>361</v>
      </c>
      <c r="E11" s="805" t="s">
        <v>362</v>
      </c>
      <c r="F11" s="805" t="s">
        <v>363</v>
      </c>
      <c r="G11" s="805" t="s">
        <v>364</v>
      </c>
      <c r="H11" s="805"/>
      <c r="I11" s="304" t="s">
        <v>365</v>
      </c>
      <c r="J11" s="806" t="s">
        <v>29</v>
      </c>
    </row>
    <row r="12" spans="1:11" s="142" customFormat="1" ht="18" customHeight="1" thickBot="1" x14ac:dyDescent="0.3">
      <c r="A12" s="141"/>
      <c r="B12" s="816"/>
      <c r="C12" s="817"/>
      <c r="D12" s="817"/>
      <c r="E12" s="817"/>
      <c r="F12" s="817"/>
      <c r="G12" s="305" t="s">
        <v>366</v>
      </c>
      <c r="H12" s="305" t="s">
        <v>367</v>
      </c>
      <c r="I12" s="343">
        <f>SUM(I13:I19)</f>
        <v>1</v>
      </c>
      <c r="J12" s="807"/>
      <c r="K12" s="141"/>
    </row>
    <row r="13" spans="1:11" s="142" customFormat="1" ht="45" customHeight="1" x14ac:dyDescent="0.25">
      <c r="A13" s="141"/>
      <c r="B13" s="143">
        <v>1</v>
      </c>
      <c r="C13" s="344" t="s">
        <v>521</v>
      </c>
      <c r="D13" s="177" t="s">
        <v>520</v>
      </c>
      <c r="E13" s="144" t="s">
        <v>522</v>
      </c>
      <c r="F13" s="145">
        <v>1</v>
      </c>
      <c r="G13" s="146">
        <v>44228</v>
      </c>
      <c r="H13" s="146">
        <v>44560</v>
      </c>
      <c r="I13" s="227">
        <v>0.2</v>
      </c>
      <c r="J13" s="178"/>
      <c r="K13" s="141"/>
    </row>
    <row r="14" spans="1:11" s="142" customFormat="1" ht="45" customHeight="1" x14ac:dyDescent="0.25">
      <c r="A14" s="141"/>
      <c r="B14" s="148">
        <v>2</v>
      </c>
      <c r="C14" s="179" t="s">
        <v>523</v>
      </c>
      <c r="D14" s="180" t="s">
        <v>520</v>
      </c>
      <c r="E14" s="150" t="s">
        <v>761</v>
      </c>
      <c r="F14" s="151">
        <v>1</v>
      </c>
      <c r="G14" s="152">
        <v>44228</v>
      </c>
      <c r="H14" s="152">
        <v>44560</v>
      </c>
      <c r="I14" s="228">
        <v>0.1</v>
      </c>
      <c r="J14" s="181"/>
      <c r="K14" s="141"/>
    </row>
    <row r="15" spans="1:11" s="142" customFormat="1" ht="45" customHeight="1" x14ac:dyDescent="0.25">
      <c r="A15" s="141"/>
      <c r="B15" s="148">
        <v>3</v>
      </c>
      <c r="C15" s="179" t="s">
        <v>762</v>
      </c>
      <c r="D15" s="180" t="s">
        <v>520</v>
      </c>
      <c r="E15" s="150" t="s">
        <v>524</v>
      </c>
      <c r="F15" s="151">
        <v>0.8</v>
      </c>
      <c r="G15" s="152">
        <v>44287</v>
      </c>
      <c r="H15" s="152">
        <v>44560</v>
      </c>
      <c r="I15" s="228">
        <v>0.1</v>
      </c>
      <c r="J15" s="181"/>
      <c r="K15" s="141"/>
    </row>
    <row r="16" spans="1:11" s="142" customFormat="1" ht="45" customHeight="1" x14ac:dyDescent="0.25">
      <c r="A16" s="141"/>
      <c r="B16" s="148">
        <v>4</v>
      </c>
      <c r="C16" s="179" t="s">
        <v>525</v>
      </c>
      <c r="D16" s="180" t="s">
        <v>520</v>
      </c>
      <c r="E16" s="150" t="s">
        <v>526</v>
      </c>
      <c r="F16" s="151">
        <v>0.8</v>
      </c>
      <c r="G16" s="152">
        <v>44228</v>
      </c>
      <c r="H16" s="152">
        <v>44377</v>
      </c>
      <c r="I16" s="228">
        <v>0.1</v>
      </c>
      <c r="J16" s="181"/>
      <c r="K16" s="141"/>
    </row>
    <row r="17" spans="1:11" s="142" customFormat="1" ht="45" customHeight="1" x14ac:dyDescent="0.25">
      <c r="A17" s="141"/>
      <c r="B17" s="148">
        <v>5</v>
      </c>
      <c r="C17" s="179" t="s">
        <v>763</v>
      </c>
      <c r="D17" s="180" t="s">
        <v>520</v>
      </c>
      <c r="E17" s="150" t="s">
        <v>764</v>
      </c>
      <c r="F17" s="151">
        <v>1</v>
      </c>
      <c r="G17" s="152">
        <v>44256</v>
      </c>
      <c r="H17" s="152">
        <v>44560</v>
      </c>
      <c r="I17" s="228">
        <v>0.15</v>
      </c>
      <c r="J17" s="181"/>
      <c r="K17" s="141"/>
    </row>
    <row r="18" spans="1:11" s="142" customFormat="1" ht="45" customHeight="1" x14ac:dyDescent="0.25">
      <c r="A18" s="141"/>
      <c r="B18" s="148">
        <v>6</v>
      </c>
      <c r="C18" s="179" t="s">
        <v>527</v>
      </c>
      <c r="D18" s="180" t="s">
        <v>520</v>
      </c>
      <c r="E18" s="150" t="s">
        <v>528</v>
      </c>
      <c r="F18" s="151">
        <v>0.8</v>
      </c>
      <c r="G18" s="152">
        <v>44287</v>
      </c>
      <c r="H18" s="152">
        <v>44560</v>
      </c>
      <c r="I18" s="228">
        <v>0.15</v>
      </c>
      <c r="J18" s="181"/>
      <c r="K18" s="141"/>
    </row>
    <row r="19" spans="1:11" s="142" customFormat="1" ht="59.25" customHeight="1" thickBot="1" x14ac:dyDescent="0.3">
      <c r="A19" s="141"/>
      <c r="B19" s="154">
        <v>7</v>
      </c>
      <c r="C19" s="155" t="s">
        <v>529</v>
      </c>
      <c r="D19" s="156" t="s">
        <v>520</v>
      </c>
      <c r="E19" s="157" t="s">
        <v>765</v>
      </c>
      <c r="F19" s="159">
        <v>1</v>
      </c>
      <c r="G19" s="158" t="s">
        <v>530</v>
      </c>
      <c r="H19" s="158">
        <v>44560</v>
      </c>
      <c r="I19" s="345">
        <v>0.2</v>
      </c>
      <c r="J19" s="160"/>
      <c r="K19" s="141"/>
    </row>
    <row r="20" spans="1:11" s="142" customFormat="1" ht="33" customHeight="1" thickBot="1" x14ac:dyDescent="0.3">
      <c r="A20" s="141"/>
      <c r="B20" s="808" t="s">
        <v>486</v>
      </c>
      <c r="C20" s="808"/>
      <c r="D20" s="808"/>
      <c r="E20" s="808"/>
      <c r="F20" s="808"/>
      <c r="G20" s="808"/>
      <c r="H20" s="808"/>
      <c r="I20" s="808"/>
      <c r="J20" s="808"/>
      <c r="K20" s="141"/>
    </row>
    <row r="21" spans="1:11" s="142" customFormat="1" ht="21.75" customHeight="1" x14ac:dyDescent="0.25">
      <c r="A21" s="141"/>
      <c r="B21" s="161"/>
      <c r="C21" s="809" t="s">
        <v>487</v>
      </c>
      <c r="D21" s="810"/>
      <c r="E21" s="810"/>
      <c r="F21" s="811"/>
      <c r="G21" s="162"/>
      <c r="H21" s="162"/>
      <c r="I21" s="162"/>
      <c r="J21" s="163"/>
      <c r="K21" s="141"/>
    </row>
    <row r="22" spans="1:11" s="142" customFormat="1" ht="21.75" customHeight="1" thickBot="1" x14ac:dyDescent="0.3">
      <c r="A22" s="141"/>
      <c r="B22" s="161"/>
      <c r="C22" s="346" t="s">
        <v>355</v>
      </c>
      <c r="D22" s="851" t="s">
        <v>488</v>
      </c>
      <c r="E22" s="851"/>
      <c r="F22" s="347" t="s">
        <v>489</v>
      </c>
      <c r="G22" s="162"/>
      <c r="H22" s="162"/>
      <c r="I22" s="162"/>
      <c r="J22" s="163"/>
      <c r="K22" s="141"/>
    </row>
    <row r="23" spans="1:11" s="142" customFormat="1" ht="28.5" customHeight="1" x14ac:dyDescent="0.2">
      <c r="A23" s="141"/>
      <c r="B23" s="161"/>
      <c r="C23" s="348">
        <v>1</v>
      </c>
      <c r="D23" s="852" t="s">
        <v>490</v>
      </c>
      <c r="E23" s="853"/>
      <c r="F23" s="349">
        <v>44225</v>
      </c>
      <c r="G23" s="162"/>
      <c r="H23" s="162"/>
      <c r="I23" s="162"/>
      <c r="J23" s="163"/>
      <c r="K23" s="141"/>
    </row>
    <row r="24" spans="1:11" s="142" customFormat="1" ht="28.5" customHeight="1" thickBot="1" x14ac:dyDescent="0.3">
      <c r="A24" s="141"/>
      <c r="B24" s="161"/>
      <c r="C24" s="166"/>
      <c r="D24" s="804"/>
      <c r="E24" s="804"/>
      <c r="F24" s="167"/>
      <c r="G24" s="162"/>
      <c r="H24" s="162"/>
      <c r="I24" s="162"/>
      <c r="J24" s="163"/>
      <c r="K24" s="141"/>
    </row>
    <row r="25" spans="1:11" s="142" customFormat="1" ht="33" customHeight="1" x14ac:dyDescent="0.25">
      <c r="A25" s="141"/>
      <c r="B25" s="161"/>
      <c r="C25" s="168"/>
      <c r="D25" s="168"/>
      <c r="E25" s="161"/>
      <c r="F25" s="161"/>
      <c r="G25" s="162"/>
      <c r="H25" s="162"/>
      <c r="I25" s="162"/>
      <c r="J25" s="163"/>
      <c r="K25" s="141"/>
    </row>
    <row r="26" spans="1:11" s="142" customFormat="1" ht="33" customHeight="1" x14ac:dyDescent="0.25">
      <c r="A26" s="141"/>
      <c r="B26" s="161"/>
      <c r="C26" s="168"/>
      <c r="D26" s="168"/>
      <c r="E26" s="161"/>
      <c r="F26" s="161"/>
      <c r="G26" s="162"/>
      <c r="H26" s="162"/>
      <c r="I26" s="162"/>
      <c r="J26" s="163"/>
      <c r="K26" s="141"/>
    </row>
    <row r="27" spans="1:11" s="142" customFormat="1" ht="33" customHeight="1" x14ac:dyDescent="0.25">
      <c r="A27" s="141"/>
      <c r="B27" s="161"/>
      <c r="C27" s="168"/>
      <c r="D27" s="168"/>
      <c r="E27" s="161"/>
      <c r="F27" s="161"/>
      <c r="G27" s="162"/>
      <c r="H27" s="162"/>
      <c r="I27" s="162"/>
      <c r="J27" s="163"/>
      <c r="K27" s="141"/>
    </row>
    <row r="28" spans="1:11" s="142" customFormat="1" ht="33" customHeight="1" x14ac:dyDescent="0.25">
      <c r="A28" s="141"/>
      <c r="B28" s="161"/>
      <c r="C28" s="168"/>
      <c r="D28" s="168"/>
      <c r="E28" s="161"/>
      <c r="F28" s="161"/>
      <c r="G28" s="162"/>
      <c r="H28" s="162"/>
      <c r="I28" s="162"/>
      <c r="J28" s="163"/>
      <c r="K28" s="141"/>
    </row>
    <row r="29" spans="1:11" s="142" customFormat="1" ht="6.75" customHeight="1" x14ac:dyDescent="0.25">
      <c r="A29" s="141"/>
      <c r="B29" s="169"/>
      <c r="C29" s="163"/>
      <c r="D29" s="163"/>
      <c r="E29" s="161"/>
      <c r="F29" s="161"/>
      <c r="G29" s="169"/>
      <c r="H29" s="169"/>
      <c r="I29" s="169"/>
      <c r="J29" s="163"/>
      <c r="K29" s="141"/>
    </row>
    <row r="30" spans="1:11" ht="42.75" customHeight="1" x14ac:dyDescent="0.25">
      <c r="B30" s="170"/>
      <c r="C30" s="171"/>
      <c r="D30" s="171"/>
      <c r="E30" s="172"/>
      <c r="F30" s="173"/>
      <c r="G30" s="142"/>
      <c r="H30" s="142"/>
      <c r="I30" s="142"/>
    </row>
    <row r="31" spans="1:11" ht="16.5" customHeight="1" x14ac:dyDescent="0.25">
      <c r="C31" s="123"/>
      <c r="D31" s="123"/>
      <c r="E31" s="123"/>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0" hidden="1" customHeight="1" x14ac:dyDescent="0.25">
      <c r="B66" s="175"/>
      <c r="C66" s="176"/>
      <c r="D66" s="176"/>
      <c r="E66" s="176"/>
      <c r="F66" s="123"/>
      <c r="G66" s="123"/>
      <c r="H66" s="123"/>
      <c r="I66" s="123"/>
      <c r="J66" s="174"/>
      <c r="L66" s="123"/>
    </row>
    <row r="67" spans="2:12" s="119" customFormat="1" ht="0" hidden="1" customHeight="1" x14ac:dyDescent="0.25">
      <c r="B67" s="175"/>
      <c r="C67" s="176"/>
      <c r="D67" s="176"/>
      <c r="E67" s="176"/>
      <c r="F67" s="123"/>
      <c r="G67" s="123"/>
      <c r="H67" s="123"/>
      <c r="I67" s="123"/>
      <c r="J67" s="174"/>
      <c r="L67" s="123"/>
    </row>
    <row r="68" spans="2:12" s="119" customFormat="1" ht="0" hidden="1" customHeight="1" x14ac:dyDescent="0.25">
      <c r="B68" s="175"/>
      <c r="C68" s="176"/>
      <c r="D68" s="176"/>
      <c r="E68" s="176"/>
      <c r="F68" s="123"/>
      <c r="G68" s="123"/>
      <c r="H68" s="123"/>
      <c r="I68" s="123"/>
      <c r="J68" s="174"/>
      <c r="L68" s="123"/>
    </row>
    <row r="69" spans="2:12" s="119" customFormat="1" ht="0" hidden="1" customHeight="1" x14ac:dyDescent="0.25">
      <c r="B69" s="175"/>
      <c r="C69" s="176"/>
      <c r="D69" s="176"/>
      <c r="E69" s="176"/>
      <c r="F69" s="123"/>
      <c r="G69" s="123"/>
      <c r="H69" s="123"/>
      <c r="I69" s="123"/>
      <c r="J69" s="174"/>
      <c r="L69" s="123"/>
    </row>
    <row r="70" spans="2:12" s="119" customFormat="1" ht="0" hidden="1"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sheetData>
  <mergeCells count="17">
    <mergeCell ref="D24:E24"/>
    <mergeCell ref="G11:H11"/>
    <mergeCell ref="J11:J12"/>
    <mergeCell ref="B20:J20"/>
    <mergeCell ref="C21:F21"/>
    <mergeCell ref="D22:E22"/>
    <mergeCell ref="D23:E23"/>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8"/>
  <sheetViews>
    <sheetView zoomScale="80" zoomScaleNormal="80" workbookViewId="0"/>
  </sheetViews>
  <sheetFormatPr baseColWidth="10" defaultColWidth="11.42578125"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4.570312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798" t="s">
        <v>766</v>
      </c>
      <c r="D2" s="798"/>
      <c r="E2" s="798"/>
      <c r="F2" s="798"/>
      <c r="G2" s="798"/>
      <c r="H2" s="798"/>
      <c r="I2" s="798"/>
      <c r="J2" s="798"/>
    </row>
    <row r="3" spans="1:11" ht="18.75" customHeight="1" x14ac:dyDescent="0.25">
      <c r="B3" s="124"/>
      <c r="C3" s="125"/>
      <c r="D3" s="126"/>
      <c r="E3" s="125"/>
      <c r="F3" s="127"/>
      <c r="G3" s="128"/>
      <c r="H3" s="129"/>
      <c r="I3" s="129"/>
      <c r="J3" s="130"/>
    </row>
    <row r="4" spans="1:11" ht="75.75" customHeight="1" x14ac:dyDescent="0.25">
      <c r="B4" s="124"/>
      <c r="C4" s="131" t="s">
        <v>477</v>
      </c>
      <c r="D4" s="850" t="s">
        <v>760</v>
      </c>
      <c r="E4" s="850"/>
      <c r="F4" s="850"/>
      <c r="G4" s="850"/>
      <c r="H4" s="850"/>
      <c r="I4" s="850"/>
      <c r="J4" s="850"/>
    </row>
    <row r="5" spans="1:11" ht="8.25" customHeight="1" x14ac:dyDescent="0.25">
      <c r="B5" s="124"/>
      <c r="C5" s="132"/>
      <c r="D5" s="133"/>
      <c r="E5" s="125"/>
      <c r="F5" s="134"/>
      <c r="G5" s="134"/>
      <c r="H5" s="134"/>
      <c r="I5" s="134"/>
      <c r="J5" s="130"/>
    </row>
    <row r="6" spans="1:11" ht="18" customHeight="1" x14ac:dyDescent="0.25">
      <c r="B6" s="124"/>
      <c r="C6" s="131" t="s">
        <v>479</v>
      </c>
      <c r="D6" s="799">
        <v>1</v>
      </c>
      <c r="E6" s="799"/>
      <c r="F6" s="799"/>
      <c r="G6" s="799"/>
      <c r="H6" s="799"/>
      <c r="I6" s="306"/>
      <c r="J6" s="306"/>
    </row>
    <row r="7" spans="1:11" ht="8.25" customHeight="1" x14ac:dyDescent="0.25">
      <c r="B7" s="124"/>
      <c r="C7" s="136"/>
      <c r="D7" s="136"/>
      <c r="E7" s="136"/>
      <c r="F7" s="137"/>
      <c r="G7" s="137"/>
      <c r="H7" s="137"/>
      <c r="I7" s="137"/>
      <c r="J7" s="130"/>
    </row>
    <row r="8" spans="1:11" ht="18" customHeight="1" x14ac:dyDescent="0.25">
      <c r="B8" s="124"/>
      <c r="C8" s="131" t="s">
        <v>519</v>
      </c>
      <c r="D8" s="800">
        <v>44225</v>
      </c>
      <c r="E8" s="799"/>
      <c r="F8" s="799"/>
      <c r="G8" s="799"/>
      <c r="H8" s="799"/>
      <c r="I8" s="306"/>
      <c r="J8" s="306"/>
    </row>
    <row r="9" spans="1:11" ht="8.25" customHeight="1" thickBot="1" x14ac:dyDescent="0.3">
      <c r="B9" s="124"/>
      <c r="C9" s="138"/>
      <c r="D9" s="138"/>
      <c r="E9" s="138"/>
      <c r="F9" s="139"/>
      <c r="G9" s="139"/>
      <c r="H9" s="139"/>
      <c r="I9" s="139"/>
      <c r="J9" s="140"/>
    </row>
    <row r="10" spans="1:11" ht="18" customHeight="1" x14ac:dyDescent="0.25">
      <c r="B10" s="795" t="s">
        <v>357</v>
      </c>
      <c r="C10" s="818"/>
      <c r="D10" s="818"/>
      <c r="E10" s="818"/>
      <c r="F10" s="818"/>
      <c r="G10" s="818"/>
      <c r="H10" s="818"/>
      <c r="I10" s="818"/>
      <c r="J10" s="796"/>
    </row>
    <row r="11" spans="1:11" ht="18" customHeight="1" x14ac:dyDescent="0.25">
      <c r="B11" s="815" t="s">
        <v>358</v>
      </c>
      <c r="C11" s="805" t="s">
        <v>360</v>
      </c>
      <c r="D11" s="805" t="s">
        <v>361</v>
      </c>
      <c r="E11" s="805" t="s">
        <v>362</v>
      </c>
      <c r="F11" s="805" t="s">
        <v>363</v>
      </c>
      <c r="G11" s="805" t="s">
        <v>364</v>
      </c>
      <c r="H11" s="805"/>
      <c r="I11" s="304" t="s">
        <v>365</v>
      </c>
      <c r="J11" s="806" t="s">
        <v>29</v>
      </c>
    </row>
    <row r="12" spans="1:11" s="142" customFormat="1" ht="18" customHeight="1" thickBot="1" x14ac:dyDescent="0.3">
      <c r="A12" s="141"/>
      <c r="B12" s="816"/>
      <c r="C12" s="817"/>
      <c r="D12" s="817"/>
      <c r="E12" s="817"/>
      <c r="F12" s="817"/>
      <c r="G12" s="305" t="s">
        <v>366</v>
      </c>
      <c r="H12" s="305" t="s">
        <v>367</v>
      </c>
      <c r="I12" s="343">
        <f>SUM(I13:I16)</f>
        <v>1</v>
      </c>
      <c r="J12" s="807"/>
      <c r="K12" s="141"/>
    </row>
    <row r="13" spans="1:11" s="142" customFormat="1" ht="58.5" customHeight="1" x14ac:dyDescent="0.25">
      <c r="A13" s="141"/>
      <c r="B13" s="143">
        <v>1</v>
      </c>
      <c r="C13" s="177" t="s">
        <v>767</v>
      </c>
      <c r="D13" s="177" t="s">
        <v>520</v>
      </c>
      <c r="E13" s="144" t="s">
        <v>768</v>
      </c>
      <c r="F13" s="145">
        <v>1</v>
      </c>
      <c r="G13" s="146">
        <v>44256</v>
      </c>
      <c r="H13" s="146">
        <v>44560</v>
      </c>
      <c r="I13" s="227">
        <v>0.2</v>
      </c>
      <c r="J13" s="178"/>
      <c r="K13" s="141"/>
    </row>
    <row r="14" spans="1:11" s="142" customFormat="1" ht="45" customHeight="1" x14ac:dyDescent="0.25">
      <c r="A14" s="141"/>
      <c r="B14" s="148">
        <v>2</v>
      </c>
      <c r="C14" s="179" t="s">
        <v>769</v>
      </c>
      <c r="D14" s="180" t="s">
        <v>520</v>
      </c>
      <c r="E14" s="150" t="s">
        <v>770</v>
      </c>
      <c r="F14" s="151">
        <v>1</v>
      </c>
      <c r="G14" s="152">
        <v>44256</v>
      </c>
      <c r="H14" s="152">
        <v>44469</v>
      </c>
      <c r="I14" s="228">
        <v>0.3</v>
      </c>
      <c r="J14" s="181"/>
      <c r="K14" s="141"/>
    </row>
    <row r="15" spans="1:11" s="142" customFormat="1" ht="45" customHeight="1" x14ac:dyDescent="0.25">
      <c r="A15" s="141"/>
      <c r="B15" s="148">
        <v>3</v>
      </c>
      <c r="C15" s="179" t="s">
        <v>771</v>
      </c>
      <c r="D15" s="180" t="s">
        <v>520</v>
      </c>
      <c r="E15" s="150" t="s">
        <v>772</v>
      </c>
      <c r="F15" s="151">
        <v>1</v>
      </c>
      <c r="G15" s="152">
        <v>44228</v>
      </c>
      <c r="H15" s="152">
        <v>44560</v>
      </c>
      <c r="I15" s="228">
        <v>0.4</v>
      </c>
      <c r="J15" s="181"/>
      <c r="K15" s="141"/>
    </row>
    <row r="16" spans="1:11" s="142" customFormat="1" ht="45" customHeight="1" thickBot="1" x14ac:dyDescent="0.3">
      <c r="A16" s="141"/>
      <c r="B16" s="154">
        <v>4</v>
      </c>
      <c r="C16" s="155" t="s">
        <v>773</v>
      </c>
      <c r="D16" s="156" t="s">
        <v>520</v>
      </c>
      <c r="E16" s="157" t="s">
        <v>774</v>
      </c>
      <c r="F16" s="159">
        <v>1</v>
      </c>
      <c r="G16" s="158">
        <v>44287</v>
      </c>
      <c r="H16" s="158">
        <v>44560</v>
      </c>
      <c r="I16" s="345">
        <v>0.1</v>
      </c>
      <c r="J16" s="160"/>
      <c r="K16" s="141"/>
    </row>
    <row r="17" spans="1:11" s="142" customFormat="1" ht="33" customHeight="1" thickBot="1" x14ac:dyDescent="0.3">
      <c r="A17" s="141"/>
      <c r="B17" s="808" t="s">
        <v>486</v>
      </c>
      <c r="C17" s="808"/>
      <c r="D17" s="808"/>
      <c r="E17" s="808"/>
      <c r="F17" s="808"/>
      <c r="G17" s="808"/>
      <c r="H17" s="808"/>
      <c r="I17" s="808"/>
      <c r="J17" s="808"/>
      <c r="K17" s="141"/>
    </row>
    <row r="18" spans="1:11" s="142" customFormat="1" ht="21.75" customHeight="1" x14ac:dyDescent="0.25">
      <c r="A18" s="141"/>
      <c r="B18" s="161"/>
      <c r="C18" s="809" t="s">
        <v>487</v>
      </c>
      <c r="D18" s="810"/>
      <c r="E18" s="810"/>
      <c r="F18" s="811"/>
      <c r="G18" s="162"/>
      <c r="H18" s="162"/>
      <c r="I18" s="162"/>
      <c r="J18" s="163"/>
      <c r="K18" s="141"/>
    </row>
    <row r="19" spans="1:11" s="142" customFormat="1" ht="21.75" customHeight="1" thickBot="1" x14ac:dyDescent="0.3">
      <c r="A19" s="141"/>
      <c r="B19" s="161"/>
      <c r="C19" s="346" t="s">
        <v>355</v>
      </c>
      <c r="D19" s="851" t="s">
        <v>488</v>
      </c>
      <c r="E19" s="851"/>
      <c r="F19" s="347" t="s">
        <v>489</v>
      </c>
      <c r="G19" s="162"/>
      <c r="H19" s="162"/>
      <c r="I19" s="162"/>
      <c r="J19" s="163"/>
      <c r="K19" s="141"/>
    </row>
    <row r="20" spans="1:11" s="142" customFormat="1" ht="28.5" customHeight="1" x14ac:dyDescent="0.2">
      <c r="A20" s="141"/>
      <c r="B20" s="161"/>
      <c r="C20" s="348">
        <v>1</v>
      </c>
      <c r="D20" s="852" t="s">
        <v>490</v>
      </c>
      <c r="E20" s="853"/>
      <c r="F20" s="349">
        <v>44224</v>
      </c>
      <c r="G20" s="162"/>
      <c r="H20" s="162"/>
      <c r="I20" s="162"/>
      <c r="J20" s="163"/>
      <c r="K20" s="141"/>
    </row>
    <row r="21" spans="1:11" s="142" customFormat="1" ht="28.5" customHeight="1" thickBot="1" x14ac:dyDescent="0.3">
      <c r="A21" s="141"/>
      <c r="B21" s="161"/>
      <c r="C21" s="166"/>
      <c r="D21" s="804"/>
      <c r="E21" s="804"/>
      <c r="F21" s="167"/>
      <c r="G21" s="162"/>
      <c r="H21" s="162"/>
      <c r="I21" s="162"/>
      <c r="J21" s="163"/>
      <c r="K21" s="141"/>
    </row>
    <row r="22" spans="1:11" s="142" customFormat="1" ht="33" customHeight="1" x14ac:dyDescent="0.25">
      <c r="A22" s="141"/>
      <c r="B22" s="161"/>
      <c r="C22" s="168"/>
      <c r="D22" s="168"/>
      <c r="E22" s="161"/>
      <c r="F22" s="161"/>
      <c r="G22" s="162"/>
      <c r="H22" s="162"/>
      <c r="I22" s="162"/>
      <c r="J22" s="163"/>
      <c r="K22" s="141"/>
    </row>
    <row r="23" spans="1:11" s="142" customFormat="1" ht="33" customHeight="1" x14ac:dyDescent="0.25">
      <c r="A23" s="141"/>
      <c r="B23" s="161"/>
      <c r="C23" s="168"/>
      <c r="D23" s="168"/>
      <c r="E23" s="161"/>
      <c r="F23" s="161"/>
      <c r="G23" s="162"/>
      <c r="H23" s="162"/>
      <c r="I23" s="162"/>
      <c r="J23" s="163"/>
      <c r="K23" s="141"/>
    </row>
    <row r="24" spans="1:11" s="142" customFormat="1" ht="33" customHeight="1" x14ac:dyDescent="0.25">
      <c r="A24" s="141"/>
      <c r="B24" s="161"/>
      <c r="C24" s="168"/>
      <c r="D24" s="168"/>
      <c r="E24" s="161"/>
      <c r="F24" s="161"/>
      <c r="G24" s="162"/>
      <c r="H24" s="162"/>
      <c r="I24" s="162"/>
      <c r="J24" s="163"/>
      <c r="K24" s="141"/>
    </row>
    <row r="25" spans="1:11" s="142" customFormat="1" ht="33" customHeight="1" x14ac:dyDescent="0.25">
      <c r="A25" s="141"/>
      <c r="B25" s="161"/>
      <c r="C25" s="168"/>
      <c r="D25" s="168"/>
      <c r="E25" s="161"/>
      <c r="F25" s="161"/>
      <c r="G25" s="162"/>
      <c r="H25" s="162"/>
      <c r="I25" s="162"/>
      <c r="J25" s="163"/>
      <c r="K25" s="141"/>
    </row>
    <row r="26" spans="1:11" s="142" customFormat="1" ht="6.75" customHeight="1" x14ac:dyDescent="0.25">
      <c r="A26" s="141"/>
      <c r="B26" s="169"/>
      <c r="C26" s="163"/>
      <c r="D26" s="163"/>
      <c r="E26" s="161"/>
      <c r="F26" s="161"/>
      <c r="G26" s="169"/>
      <c r="H26" s="169"/>
      <c r="I26" s="169"/>
      <c r="J26" s="163"/>
      <c r="K26" s="141"/>
    </row>
    <row r="27" spans="1:11" ht="42.75" customHeight="1" x14ac:dyDescent="0.25">
      <c r="B27" s="170"/>
      <c r="C27" s="171"/>
      <c r="D27" s="171"/>
      <c r="E27" s="172"/>
      <c r="F27" s="173"/>
      <c r="G27" s="142"/>
      <c r="H27" s="142"/>
      <c r="I27" s="142"/>
    </row>
    <row r="28" spans="1:11" ht="16.5" customHeight="1" x14ac:dyDescent="0.25">
      <c r="C28" s="123"/>
      <c r="D28" s="123"/>
      <c r="E28" s="123"/>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0" hidden="1" customHeight="1" x14ac:dyDescent="0.25">
      <c r="B66" s="175"/>
      <c r="C66" s="176"/>
      <c r="D66" s="176"/>
      <c r="E66" s="176"/>
      <c r="F66" s="123"/>
      <c r="G66" s="123"/>
      <c r="H66" s="123"/>
      <c r="I66" s="123"/>
      <c r="J66" s="174"/>
      <c r="L66" s="123"/>
    </row>
    <row r="67" spans="2:12" s="119" customFormat="1" ht="0" hidden="1" customHeight="1" x14ac:dyDescent="0.25">
      <c r="B67" s="175"/>
      <c r="C67" s="176"/>
      <c r="D67" s="176"/>
      <c r="E67" s="176"/>
      <c r="F67" s="123"/>
      <c r="G67" s="123"/>
      <c r="H67" s="123"/>
      <c r="I67" s="123"/>
      <c r="J67" s="174"/>
      <c r="L67" s="123"/>
    </row>
    <row r="68" spans="2:12" s="119" customFormat="1" ht="15" customHeight="1" x14ac:dyDescent="0.25">
      <c r="B68" s="175"/>
      <c r="C68" s="176"/>
      <c r="D68" s="176"/>
      <c r="E68" s="176"/>
      <c r="F68" s="123"/>
      <c r="G68" s="123"/>
      <c r="H68" s="123"/>
      <c r="I68" s="123"/>
      <c r="J68" s="174"/>
      <c r="L68" s="123"/>
    </row>
    <row r="69" spans="2:12" s="119" customFormat="1" ht="15" customHeight="1" x14ac:dyDescent="0.25">
      <c r="B69" s="175"/>
      <c r="C69" s="176"/>
      <c r="D69" s="176"/>
      <c r="E69" s="176"/>
      <c r="F69" s="123"/>
      <c r="G69" s="123"/>
      <c r="H69" s="123"/>
      <c r="I69" s="123"/>
      <c r="J69" s="174"/>
      <c r="L69" s="123"/>
    </row>
    <row r="70" spans="2:12" s="119" customFormat="1" ht="15"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row r="98" spans="2:12" s="119" customFormat="1" ht="15" customHeight="1" x14ac:dyDescent="0.25">
      <c r="B98" s="175"/>
      <c r="C98" s="176"/>
      <c r="D98" s="176"/>
      <c r="E98" s="176"/>
      <c r="F98" s="123"/>
      <c r="G98" s="123"/>
      <c r="H98" s="123"/>
      <c r="I98" s="123"/>
      <c r="J98" s="174"/>
      <c r="L98" s="123"/>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7"/>
  <sheetViews>
    <sheetView zoomScale="80" zoomScaleNormal="80" workbookViewId="0"/>
  </sheetViews>
  <sheetFormatPr baseColWidth="10" defaultColWidth="11.42578125"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3.710937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798" t="s">
        <v>775</v>
      </c>
      <c r="D2" s="798"/>
      <c r="E2" s="798"/>
      <c r="F2" s="798"/>
      <c r="G2" s="798"/>
      <c r="H2" s="798"/>
      <c r="I2" s="798"/>
      <c r="J2" s="798"/>
    </row>
    <row r="3" spans="1:11" ht="18.75" customHeight="1" x14ac:dyDescent="0.25">
      <c r="B3" s="124"/>
      <c r="C3" s="125"/>
      <c r="D3" s="126"/>
      <c r="E3" s="125"/>
      <c r="F3" s="127"/>
      <c r="G3" s="128"/>
      <c r="H3" s="129"/>
      <c r="I3" s="129"/>
      <c r="J3" s="130"/>
    </row>
    <row r="4" spans="1:11" ht="75.75" customHeight="1" x14ac:dyDescent="0.25">
      <c r="B4" s="124"/>
      <c r="C4" s="131" t="s">
        <v>477</v>
      </c>
      <c r="D4" s="850" t="s">
        <v>760</v>
      </c>
      <c r="E4" s="850"/>
      <c r="F4" s="850"/>
      <c r="G4" s="850"/>
      <c r="H4" s="850"/>
      <c r="I4" s="850"/>
      <c r="J4" s="850"/>
    </row>
    <row r="5" spans="1:11" ht="8.25" customHeight="1" x14ac:dyDescent="0.25">
      <c r="B5" s="124"/>
      <c r="C5" s="132"/>
      <c r="D5" s="133"/>
      <c r="E5" s="125"/>
      <c r="F5" s="134"/>
      <c r="G5" s="134"/>
      <c r="H5" s="134"/>
      <c r="I5" s="134"/>
      <c r="J5" s="130"/>
    </row>
    <row r="6" spans="1:11" ht="18" customHeight="1" x14ac:dyDescent="0.25">
      <c r="B6" s="124"/>
      <c r="C6" s="131" t="s">
        <v>479</v>
      </c>
      <c r="D6" s="799">
        <v>1</v>
      </c>
      <c r="E6" s="799"/>
      <c r="F6" s="799"/>
      <c r="G6" s="799"/>
      <c r="H6" s="799"/>
      <c r="I6" s="306"/>
      <c r="J6" s="306"/>
    </row>
    <row r="7" spans="1:11" ht="8.25" customHeight="1" x14ac:dyDescent="0.25">
      <c r="B7" s="124"/>
      <c r="C7" s="136"/>
      <c r="D7" s="136"/>
      <c r="E7" s="136"/>
      <c r="F7" s="137"/>
      <c r="G7" s="137"/>
      <c r="H7" s="137"/>
      <c r="I7" s="137"/>
      <c r="J7" s="130"/>
    </row>
    <row r="8" spans="1:11" ht="18" customHeight="1" x14ac:dyDescent="0.25">
      <c r="B8" s="124"/>
      <c r="C8" s="131" t="s">
        <v>519</v>
      </c>
      <c r="D8" s="800">
        <v>44225</v>
      </c>
      <c r="E8" s="799"/>
      <c r="F8" s="799"/>
      <c r="G8" s="799"/>
      <c r="H8" s="799"/>
      <c r="I8" s="306"/>
      <c r="J8" s="306"/>
    </row>
    <row r="9" spans="1:11" ht="8.25" customHeight="1" thickBot="1" x14ac:dyDescent="0.3">
      <c r="B9" s="124"/>
      <c r="C9" s="138"/>
      <c r="D9" s="138"/>
      <c r="E9" s="138"/>
      <c r="F9" s="139"/>
      <c r="G9" s="139"/>
      <c r="H9" s="139"/>
      <c r="I9" s="139"/>
      <c r="J9" s="140"/>
    </row>
    <row r="10" spans="1:11" ht="18" customHeight="1" x14ac:dyDescent="0.25">
      <c r="B10" s="795" t="s">
        <v>357</v>
      </c>
      <c r="C10" s="818"/>
      <c r="D10" s="818"/>
      <c r="E10" s="818"/>
      <c r="F10" s="818"/>
      <c r="G10" s="818"/>
      <c r="H10" s="818"/>
      <c r="I10" s="818"/>
      <c r="J10" s="796"/>
    </row>
    <row r="11" spans="1:11" ht="18" customHeight="1" x14ac:dyDescent="0.25">
      <c r="B11" s="815" t="s">
        <v>358</v>
      </c>
      <c r="C11" s="805" t="s">
        <v>360</v>
      </c>
      <c r="D11" s="805" t="s">
        <v>361</v>
      </c>
      <c r="E11" s="805" t="s">
        <v>362</v>
      </c>
      <c r="F11" s="805" t="s">
        <v>363</v>
      </c>
      <c r="G11" s="805" t="s">
        <v>364</v>
      </c>
      <c r="H11" s="805"/>
      <c r="I11" s="304" t="s">
        <v>365</v>
      </c>
      <c r="J11" s="806" t="s">
        <v>29</v>
      </c>
    </row>
    <row r="12" spans="1:11" s="142" customFormat="1" ht="18" customHeight="1" thickBot="1" x14ac:dyDescent="0.3">
      <c r="A12" s="141"/>
      <c r="B12" s="816"/>
      <c r="C12" s="817"/>
      <c r="D12" s="817"/>
      <c r="E12" s="817"/>
      <c r="F12" s="817"/>
      <c r="G12" s="305" t="s">
        <v>366</v>
      </c>
      <c r="H12" s="305" t="s">
        <v>367</v>
      </c>
      <c r="I12" s="343">
        <f>SUM(I13:I14)</f>
        <v>1</v>
      </c>
      <c r="J12" s="807"/>
      <c r="K12" s="141"/>
    </row>
    <row r="13" spans="1:11" s="142" customFormat="1" ht="45" customHeight="1" x14ac:dyDescent="0.25">
      <c r="A13" s="141"/>
      <c r="B13" s="143">
        <v>1</v>
      </c>
      <c r="C13" s="303" t="s">
        <v>776</v>
      </c>
      <c r="D13" s="177" t="s">
        <v>520</v>
      </c>
      <c r="E13" s="144" t="s">
        <v>777</v>
      </c>
      <c r="F13" s="145">
        <v>1</v>
      </c>
      <c r="G13" s="146">
        <v>44256</v>
      </c>
      <c r="H13" s="146">
        <v>44560</v>
      </c>
      <c r="I13" s="227">
        <v>0.7</v>
      </c>
      <c r="J13" s="178"/>
      <c r="K13" s="141"/>
    </row>
    <row r="14" spans="1:11" s="142" customFormat="1" ht="45" customHeight="1" thickBot="1" x14ac:dyDescent="0.3">
      <c r="A14" s="141"/>
      <c r="B14" s="154">
        <v>2</v>
      </c>
      <c r="C14" s="350" t="s">
        <v>778</v>
      </c>
      <c r="D14" s="156" t="s">
        <v>520</v>
      </c>
      <c r="E14" s="157" t="s">
        <v>779</v>
      </c>
      <c r="F14" s="159">
        <v>1</v>
      </c>
      <c r="G14" s="158">
        <v>44317</v>
      </c>
      <c r="H14" s="158">
        <v>44469</v>
      </c>
      <c r="I14" s="345">
        <v>0.3</v>
      </c>
      <c r="J14" s="160"/>
      <c r="K14" s="141"/>
    </row>
    <row r="15" spans="1:11" s="142" customFormat="1" ht="33" customHeight="1" thickBot="1" x14ac:dyDescent="0.3">
      <c r="A15" s="141"/>
      <c r="B15" s="808" t="s">
        <v>486</v>
      </c>
      <c r="C15" s="808"/>
      <c r="D15" s="808"/>
      <c r="E15" s="808"/>
      <c r="F15" s="808"/>
      <c r="G15" s="808"/>
      <c r="H15" s="808"/>
      <c r="I15" s="808"/>
      <c r="J15" s="808"/>
      <c r="K15" s="141"/>
    </row>
    <row r="16" spans="1:11" s="142" customFormat="1" ht="21.75" customHeight="1" x14ac:dyDescent="0.25">
      <c r="A16" s="141"/>
      <c r="B16" s="161"/>
      <c r="C16" s="809" t="s">
        <v>487</v>
      </c>
      <c r="D16" s="810"/>
      <c r="E16" s="810"/>
      <c r="F16" s="811"/>
      <c r="G16" s="162"/>
      <c r="H16" s="162"/>
      <c r="I16" s="162"/>
      <c r="J16" s="163"/>
      <c r="K16" s="141"/>
    </row>
    <row r="17" spans="1:11" s="142" customFormat="1" ht="21.75" customHeight="1" thickBot="1" x14ac:dyDescent="0.3">
      <c r="A17" s="141"/>
      <c r="B17" s="161"/>
      <c r="C17" s="346" t="s">
        <v>355</v>
      </c>
      <c r="D17" s="851" t="s">
        <v>488</v>
      </c>
      <c r="E17" s="851"/>
      <c r="F17" s="347" t="s">
        <v>489</v>
      </c>
      <c r="G17" s="162"/>
      <c r="H17" s="162"/>
      <c r="I17" s="162"/>
      <c r="J17" s="163"/>
      <c r="K17" s="141"/>
    </row>
    <row r="18" spans="1:11" s="142" customFormat="1" ht="28.5" customHeight="1" x14ac:dyDescent="0.2">
      <c r="A18" s="141"/>
      <c r="B18" s="161"/>
      <c r="C18" s="348">
        <v>1</v>
      </c>
      <c r="D18" s="852" t="s">
        <v>490</v>
      </c>
      <c r="E18" s="853"/>
      <c r="F18" s="349">
        <v>44225</v>
      </c>
      <c r="G18" s="162"/>
      <c r="H18" s="162"/>
      <c r="I18" s="162"/>
      <c r="J18" s="163"/>
      <c r="K18" s="141"/>
    </row>
    <row r="19" spans="1:11" s="142" customFormat="1" ht="28.5" customHeight="1" thickBot="1" x14ac:dyDescent="0.3">
      <c r="A19" s="141"/>
      <c r="B19" s="161"/>
      <c r="C19" s="166"/>
      <c r="D19" s="804"/>
      <c r="E19" s="804"/>
      <c r="F19" s="167"/>
      <c r="G19" s="162"/>
      <c r="H19" s="162"/>
      <c r="I19" s="162"/>
      <c r="J19" s="163"/>
      <c r="K19" s="141"/>
    </row>
    <row r="20" spans="1:11" s="142" customFormat="1" ht="33" customHeight="1" x14ac:dyDescent="0.25">
      <c r="A20" s="141"/>
      <c r="B20" s="161"/>
      <c r="C20" s="168"/>
      <c r="D20" s="168"/>
      <c r="E20" s="161"/>
      <c r="F20" s="161"/>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customHeight="1" x14ac:dyDescent="0.25">
      <c r="A22" s="141"/>
      <c r="B22" s="161"/>
      <c r="C22" s="168"/>
      <c r="D22" s="168"/>
      <c r="E22" s="161"/>
      <c r="F22" s="161"/>
      <c r="G22" s="162"/>
      <c r="H22" s="162"/>
      <c r="I22" s="162"/>
      <c r="J22" s="163"/>
      <c r="K22" s="141"/>
    </row>
    <row r="23" spans="1:11" s="142" customFormat="1" ht="33" customHeight="1" x14ac:dyDescent="0.25">
      <c r="A23" s="141"/>
      <c r="B23" s="161"/>
      <c r="C23" s="168"/>
      <c r="D23" s="168"/>
      <c r="E23" s="161"/>
      <c r="F23" s="161"/>
      <c r="G23" s="162"/>
      <c r="H23" s="162"/>
      <c r="I23" s="162"/>
      <c r="J23" s="163"/>
      <c r="K23" s="141"/>
    </row>
    <row r="24" spans="1:11" s="142" customFormat="1" ht="6.75" customHeight="1" x14ac:dyDescent="0.25">
      <c r="A24" s="141"/>
      <c r="B24" s="169"/>
      <c r="C24" s="163"/>
      <c r="D24" s="163"/>
      <c r="E24" s="161"/>
      <c r="F24" s="161"/>
      <c r="G24" s="169"/>
      <c r="H24" s="169"/>
      <c r="I24" s="169"/>
      <c r="J24" s="163"/>
      <c r="K24" s="141"/>
    </row>
    <row r="25" spans="1:11" ht="42.75" customHeight="1" x14ac:dyDescent="0.25">
      <c r="B25" s="170"/>
      <c r="C25" s="171"/>
      <c r="D25" s="171"/>
      <c r="E25" s="172"/>
      <c r="F25" s="173"/>
      <c r="G25" s="142"/>
      <c r="H25" s="142"/>
      <c r="I25" s="142"/>
    </row>
    <row r="26" spans="1:11" ht="16.5" customHeight="1" x14ac:dyDescent="0.25">
      <c r="C26" s="123"/>
      <c r="D26" s="123"/>
      <c r="E26" s="123"/>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15" customHeight="1" x14ac:dyDescent="0.25">
      <c r="B66" s="175"/>
      <c r="C66" s="176"/>
      <c r="D66" s="176"/>
      <c r="E66" s="176"/>
      <c r="F66" s="123"/>
      <c r="G66" s="123"/>
      <c r="H66" s="123"/>
      <c r="I66" s="123"/>
      <c r="J66" s="174"/>
      <c r="L66" s="123"/>
    </row>
    <row r="67" spans="2:12" s="119" customFormat="1" ht="15" customHeight="1" x14ac:dyDescent="0.25">
      <c r="B67" s="175"/>
      <c r="C67" s="176"/>
      <c r="D67" s="176"/>
      <c r="E67" s="176"/>
      <c r="F67" s="123"/>
      <c r="G67" s="123"/>
      <c r="H67" s="123"/>
      <c r="I67" s="123"/>
      <c r="J67" s="174"/>
      <c r="L67" s="123"/>
    </row>
    <row r="68" spans="2:12" s="119" customFormat="1" ht="15" customHeight="1" x14ac:dyDescent="0.25">
      <c r="B68" s="175"/>
      <c r="C68" s="176"/>
      <c r="D68" s="176"/>
      <c r="E68" s="176"/>
      <c r="F68" s="123"/>
      <c r="G68" s="123"/>
      <c r="H68" s="123"/>
      <c r="I68" s="123"/>
      <c r="J68" s="174"/>
      <c r="L68" s="123"/>
    </row>
    <row r="69" spans="2:12" s="119" customFormat="1" ht="15" customHeight="1" x14ac:dyDescent="0.25">
      <c r="B69" s="175"/>
      <c r="C69" s="176"/>
      <c r="D69" s="176"/>
      <c r="E69" s="176"/>
      <c r="F69" s="123"/>
      <c r="G69" s="123"/>
      <c r="H69" s="123"/>
      <c r="I69" s="123"/>
      <c r="J69" s="174"/>
      <c r="L69" s="123"/>
    </row>
    <row r="70" spans="2:12" s="119" customFormat="1" ht="15"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sheetData>
  <mergeCells count="17">
    <mergeCell ref="D19:E19"/>
    <mergeCell ref="G11:H11"/>
    <mergeCell ref="J11:J12"/>
    <mergeCell ref="B15:J15"/>
    <mergeCell ref="C16:F16"/>
    <mergeCell ref="D17:E17"/>
    <mergeCell ref="D18:E18"/>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76" t="s">
        <v>631</v>
      </c>
      <c r="B2" t="s">
        <v>632</v>
      </c>
    </row>
    <row r="3" spans="1:3" x14ac:dyDescent="0.25">
      <c r="B3" s="260" t="s">
        <v>633</v>
      </c>
    </row>
    <row r="4" spans="1:3" x14ac:dyDescent="0.25">
      <c r="B4" s="260" t="s">
        <v>634</v>
      </c>
    </row>
    <row r="5" spans="1:3" ht="15.75" thickBot="1" x14ac:dyDescent="0.3"/>
    <row r="6" spans="1:3" ht="21.75" customHeight="1" thickBot="1" x14ac:dyDescent="0.3">
      <c r="B6" s="277" t="s">
        <v>635</v>
      </c>
      <c r="C6" s="278" t="s">
        <v>636</v>
      </c>
    </row>
    <row r="7" spans="1:3" ht="60" x14ac:dyDescent="0.25">
      <c r="A7" s="279"/>
      <c r="B7" s="280" t="s">
        <v>637</v>
      </c>
      <c r="C7" s="281" t="s">
        <v>638</v>
      </c>
    </row>
    <row r="8" spans="1:3" ht="60" x14ac:dyDescent="0.25">
      <c r="A8" s="279"/>
      <c r="B8" s="282" t="s">
        <v>639</v>
      </c>
      <c r="C8" s="283" t="s">
        <v>640</v>
      </c>
    </row>
    <row r="9" spans="1:3" ht="60" x14ac:dyDescent="0.25">
      <c r="A9" s="279"/>
      <c r="B9" s="282" t="s">
        <v>641</v>
      </c>
      <c r="C9" s="283" t="s">
        <v>642</v>
      </c>
    </row>
    <row r="10" spans="1:3" ht="45" x14ac:dyDescent="0.25">
      <c r="A10" s="279"/>
      <c r="B10" s="282" t="s">
        <v>643</v>
      </c>
      <c r="C10" s="283" t="s">
        <v>644</v>
      </c>
    </row>
    <row r="11" spans="1:3" ht="60" x14ac:dyDescent="0.25">
      <c r="A11" s="279"/>
      <c r="B11" s="282" t="s">
        <v>645</v>
      </c>
      <c r="C11" s="283" t="s">
        <v>646</v>
      </c>
    </row>
    <row r="12" spans="1:3" ht="60" x14ac:dyDescent="0.25">
      <c r="A12" s="279"/>
      <c r="B12" s="282" t="s">
        <v>647</v>
      </c>
      <c r="C12" s="283" t="s">
        <v>648</v>
      </c>
    </row>
    <row r="13" spans="1:3" ht="60" x14ac:dyDescent="0.25">
      <c r="A13" s="279"/>
      <c r="B13" s="282" t="s">
        <v>649</v>
      </c>
      <c r="C13" s="283" t="s">
        <v>650</v>
      </c>
    </row>
    <row r="14" spans="1:3" ht="60" x14ac:dyDescent="0.25">
      <c r="A14" s="279"/>
      <c r="B14" s="282" t="s">
        <v>651</v>
      </c>
      <c r="C14" s="283" t="s">
        <v>652</v>
      </c>
    </row>
    <row r="15" spans="1:3" ht="60" x14ac:dyDescent="0.25">
      <c r="A15" s="279"/>
      <c r="B15" s="282" t="s">
        <v>653</v>
      </c>
      <c r="C15" s="283" t="s">
        <v>654</v>
      </c>
    </row>
    <row r="16" spans="1:3" ht="60" x14ac:dyDescent="0.25">
      <c r="A16" s="279"/>
      <c r="B16" s="282" t="s">
        <v>655</v>
      </c>
      <c r="C16" s="283" t="s">
        <v>656</v>
      </c>
    </row>
    <row r="17" spans="1:3" ht="60" x14ac:dyDescent="0.25">
      <c r="A17" s="279"/>
      <c r="B17" s="282" t="s">
        <v>657</v>
      </c>
      <c r="C17" s="283" t="s">
        <v>658</v>
      </c>
    </row>
    <row r="18" spans="1:3" ht="45" x14ac:dyDescent="0.25">
      <c r="A18" s="279"/>
      <c r="B18" s="282" t="s">
        <v>659</v>
      </c>
      <c r="C18" s="283" t="s">
        <v>660</v>
      </c>
    </row>
    <row r="19" spans="1:3" ht="60" x14ac:dyDescent="0.25">
      <c r="A19" s="279"/>
      <c r="B19" s="282" t="s">
        <v>661</v>
      </c>
      <c r="C19" s="283" t="s">
        <v>662</v>
      </c>
    </row>
    <row r="20" spans="1:3" ht="60" x14ac:dyDescent="0.25">
      <c r="A20" s="279"/>
      <c r="B20" s="282" t="s">
        <v>663</v>
      </c>
      <c r="C20" s="283" t="s">
        <v>664</v>
      </c>
    </row>
    <row r="21" spans="1:3" ht="75" x14ac:dyDescent="0.25">
      <c r="A21" s="279"/>
      <c r="B21" s="282" t="s">
        <v>665</v>
      </c>
      <c r="C21" s="283" t="s">
        <v>666</v>
      </c>
    </row>
    <row r="22" spans="1:3" ht="69" customHeight="1" x14ac:dyDescent="0.25">
      <c r="A22" s="279"/>
      <c r="B22" s="282" t="s">
        <v>667</v>
      </c>
      <c r="C22" s="283" t="s">
        <v>668</v>
      </c>
    </row>
    <row r="23" spans="1:3" ht="120.75" thickBot="1" x14ac:dyDescent="0.3">
      <c r="A23" s="279"/>
      <c r="B23" s="284" t="s">
        <v>669</v>
      </c>
      <c r="C23" s="285" t="s">
        <v>670</v>
      </c>
    </row>
  </sheetData>
  <hyperlinks>
    <hyperlink ref="B3" r:id="rId1" xr:uid="{00000000-0004-0000-0D00-000000000000}"/>
    <hyperlink ref="B4" r:id="rId2" xr:uid="{00000000-0004-0000-0D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C38"/>
  <sheetViews>
    <sheetView workbookViewId="0">
      <selection activeCell="C7" sqref="C7"/>
    </sheetView>
  </sheetViews>
  <sheetFormatPr baseColWidth="10" defaultRowHeight="15" x14ac:dyDescent="0.25"/>
  <cols>
    <col min="2" max="2" width="115.28515625" customWidth="1"/>
    <col min="3" max="3" width="8.28515625" style="259" customWidth="1"/>
  </cols>
  <sheetData>
    <row r="1" spans="1:3" x14ac:dyDescent="0.25">
      <c r="A1" t="s">
        <v>562</v>
      </c>
      <c r="B1" t="s">
        <v>563</v>
      </c>
    </row>
    <row r="2" spans="1:3" x14ac:dyDescent="0.25">
      <c r="B2" s="260" t="s">
        <v>564</v>
      </c>
    </row>
    <row r="3" spans="1:3" x14ac:dyDescent="0.25">
      <c r="C3" s="261" t="s">
        <v>565</v>
      </c>
    </row>
    <row r="4" spans="1:3" x14ac:dyDescent="0.25">
      <c r="A4" s="262" t="s">
        <v>566</v>
      </c>
      <c r="B4" s="263" t="s">
        <v>567</v>
      </c>
      <c r="C4" s="261" t="s">
        <v>568</v>
      </c>
    </row>
    <row r="5" spans="1:3" ht="30" hidden="1" x14ac:dyDescent="0.25">
      <c r="A5" s="854" t="s">
        <v>569</v>
      </c>
      <c r="B5" s="264" t="s">
        <v>570</v>
      </c>
      <c r="C5" s="261" t="s">
        <v>571</v>
      </c>
    </row>
    <row r="6" spans="1:3" hidden="1" x14ac:dyDescent="0.25">
      <c r="A6" s="854"/>
      <c r="B6" s="264" t="s">
        <v>572</v>
      </c>
      <c r="C6" s="261" t="s">
        <v>571</v>
      </c>
    </row>
    <row r="7" spans="1:3" ht="45" x14ac:dyDescent="0.25">
      <c r="A7" s="854"/>
      <c r="B7" s="264" t="s">
        <v>573</v>
      </c>
      <c r="C7" s="261" t="s">
        <v>568</v>
      </c>
    </row>
    <row r="8" spans="1:3" ht="30" hidden="1" x14ac:dyDescent="0.25">
      <c r="A8" s="854"/>
      <c r="B8" s="264" t="s">
        <v>574</v>
      </c>
      <c r="C8" s="261" t="s">
        <v>571</v>
      </c>
    </row>
    <row r="9" spans="1:3" ht="30" x14ac:dyDescent="0.25">
      <c r="A9" s="854"/>
      <c r="B9" s="264" t="s">
        <v>575</v>
      </c>
      <c r="C9" s="261" t="s">
        <v>568</v>
      </c>
    </row>
    <row r="10" spans="1:3" hidden="1" x14ac:dyDescent="0.25">
      <c r="A10" s="854"/>
      <c r="B10" s="264" t="s">
        <v>576</v>
      </c>
      <c r="C10" s="261" t="s">
        <v>571</v>
      </c>
    </row>
    <row r="11" spans="1:3" ht="30" hidden="1" x14ac:dyDescent="0.25">
      <c r="A11" s="854"/>
      <c r="B11" s="264" t="s">
        <v>577</v>
      </c>
      <c r="C11" s="261" t="s">
        <v>571</v>
      </c>
    </row>
    <row r="12" spans="1:3" hidden="1" x14ac:dyDescent="0.25">
      <c r="A12" s="854"/>
      <c r="B12" s="264" t="s">
        <v>578</v>
      </c>
      <c r="C12" s="261" t="s">
        <v>571</v>
      </c>
    </row>
    <row r="13" spans="1:3" ht="30" x14ac:dyDescent="0.25">
      <c r="A13" s="854"/>
      <c r="B13" s="264" t="s">
        <v>579</v>
      </c>
      <c r="C13" s="261" t="s">
        <v>568</v>
      </c>
    </row>
    <row r="14" spans="1:3" x14ac:dyDescent="0.25">
      <c r="A14" s="854"/>
      <c r="B14" s="264" t="s">
        <v>580</v>
      </c>
      <c r="C14" s="261" t="s">
        <v>568</v>
      </c>
    </row>
    <row r="15" spans="1:3" hidden="1" x14ac:dyDescent="0.25">
      <c r="A15" s="854"/>
      <c r="B15" s="264" t="s">
        <v>581</v>
      </c>
      <c r="C15" s="261" t="s">
        <v>571</v>
      </c>
    </row>
    <row r="16" spans="1:3" ht="30" hidden="1" x14ac:dyDescent="0.25">
      <c r="A16" s="854"/>
      <c r="B16" s="264" t="s">
        <v>582</v>
      </c>
      <c r="C16" s="261" t="s">
        <v>571</v>
      </c>
    </row>
    <row r="17" spans="1:3" x14ac:dyDescent="0.25">
      <c r="A17" s="265" t="s">
        <v>583</v>
      </c>
      <c r="B17" s="263" t="s">
        <v>584</v>
      </c>
      <c r="C17" s="261" t="s">
        <v>568</v>
      </c>
    </row>
    <row r="18" spans="1:3" ht="30" hidden="1" x14ac:dyDescent="0.25">
      <c r="A18" s="854" t="s">
        <v>569</v>
      </c>
      <c r="B18" s="264" t="s">
        <v>585</v>
      </c>
      <c r="C18" s="261" t="s">
        <v>571</v>
      </c>
    </row>
    <row r="19" spans="1:3" ht="30" x14ac:dyDescent="0.25">
      <c r="A19" s="854"/>
      <c r="B19" s="264" t="s">
        <v>586</v>
      </c>
      <c r="C19" s="261" t="s">
        <v>568</v>
      </c>
    </row>
    <row r="20" spans="1:3" ht="30" hidden="1" x14ac:dyDescent="0.25">
      <c r="A20" s="854"/>
      <c r="B20" s="264" t="s">
        <v>587</v>
      </c>
      <c r="C20" s="261" t="s">
        <v>571</v>
      </c>
    </row>
    <row r="21" spans="1:3" ht="30" hidden="1" x14ac:dyDescent="0.25">
      <c r="A21" s="854"/>
      <c r="B21" s="264" t="s">
        <v>588</v>
      </c>
      <c r="C21" s="261" t="s">
        <v>571</v>
      </c>
    </row>
    <row r="22" spans="1:3" hidden="1" x14ac:dyDescent="0.25">
      <c r="A22" s="854"/>
      <c r="B22" s="264" t="s">
        <v>589</v>
      </c>
      <c r="C22" s="261" t="s">
        <v>571</v>
      </c>
    </row>
    <row r="23" spans="1:3" ht="30" x14ac:dyDescent="0.25">
      <c r="A23" s="854"/>
      <c r="B23" s="266" t="s">
        <v>590</v>
      </c>
      <c r="C23" s="261" t="s">
        <v>568</v>
      </c>
    </row>
    <row r="24" spans="1:3" ht="30" hidden="1" x14ac:dyDescent="0.25">
      <c r="A24" s="854"/>
      <c r="B24" s="264" t="s">
        <v>591</v>
      </c>
      <c r="C24" s="261" t="s">
        <v>571</v>
      </c>
    </row>
    <row r="25" spans="1:3" x14ac:dyDescent="0.25">
      <c r="A25" s="854"/>
      <c r="B25" s="264" t="s">
        <v>592</v>
      </c>
      <c r="C25" s="261" t="s">
        <v>568</v>
      </c>
    </row>
    <row r="26" spans="1:3" x14ac:dyDescent="0.25">
      <c r="A26" s="265" t="s">
        <v>593</v>
      </c>
      <c r="B26" s="263" t="s">
        <v>594</v>
      </c>
      <c r="C26" s="261" t="s">
        <v>568</v>
      </c>
    </row>
    <row r="27" spans="1:3" ht="30" hidden="1" x14ac:dyDescent="0.25">
      <c r="A27" s="854" t="s">
        <v>569</v>
      </c>
      <c r="B27" s="264" t="s">
        <v>595</v>
      </c>
      <c r="C27" s="261" t="s">
        <v>571</v>
      </c>
    </row>
    <row r="28" spans="1:3" ht="30" x14ac:dyDescent="0.25">
      <c r="A28" s="854"/>
      <c r="B28" s="264" t="s">
        <v>596</v>
      </c>
      <c r="C28" s="261" t="s">
        <v>568</v>
      </c>
    </row>
    <row r="29" spans="1:3" ht="30" x14ac:dyDescent="0.25">
      <c r="A29" s="854"/>
      <c r="B29" s="264" t="s">
        <v>597</v>
      </c>
      <c r="C29" s="261" t="s">
        <v>568</v>
      </c>
    </row>
    <row r="30" spans="1:3" ht="30" hidden="1" x14ac:dyDescent="0.25">
      <c r="A30" s="854"/>
      <c r="B30" s="264" t="s">
        <v>598</v>
      </c>
      <c r="C30" s="261" t="s">
        <v>571</v>
      </c>
    </row>
    <row r="31" spans="1:3" ht="30" hidden="1" x14ac:dyDescent="0.25">
      <c r="A31" s="854"/>
      <c r="B31" s="264" t="s">
        <v>599</v>
      </c>
      <c r="C31" s="261" t="s">
        <v>571</v>
      </c>
    </row>
    <row r="32" spans="1:3" hidden="1" x14ac:dyDescent="0.25">
      <c r="A32" s="265" t="s">
        <v>600</v>
      </c>
      <c r="B32" s="263" t="s">
        <v>601</v>
      </c>
      <c r="C32" s="261" t="s">
        <v>571</v>
      </c>
    </row>
    <row r="33" spans="1:3" ht="45" hidden="1" x14ac:dyDescent="0.25">
      <c r="A33" s="267" t="s">
        <v>569</v>
      </c>
      <c r="B33" s="264" t="s">
        <v>602</v>
      </c>
      <c r="C33" s="261" t="s">
        <v>571</v>
      </c>
    </row>
    <row r="34" spans="1:3" x14ac:dyDescent="0.25">
      <c r="A34" s="265" t="s">
        <v>603</v>
      </c>
      <c r="B34" s="263" t="s">
        <v>604</v>
      </c>
      <c r="C34" s="261" t="s">
        <v>568</v>
      </c>
    </row>
    <row r="35" spans="1:3" ht="30" x14ac:dyDescent="0.25">
      <c r="A35" s="854" t="s">
        <v>569</v>
      </c>
      <c r="B35" s="266" t="s">
        <v>605</v>
      </c>
      <c r="C35" s="261" t="s">
        <v>568</v>
      </c>
    </row>
    <row r="36" spans="1:3" ht="30" hidden="1" x14ac:dyDescent="0.25">
      <c r="A36" s="854"/>
      <c r="B36" s="266" t="s">
        <v>606</v>
      </c>
      <c r="C36" s="261" t="s">
        <v>571</v>
      </c>
    </row>
    <row r="37" spans="1:3" x14ac:dyDescent="0.25">
      <c r="A37" s="854"/>
      <c r="B37" s="266" t="s">
        <v>607</v>
      </c>
      <c r="C37" s="261" t="s">
        <v>568</v>
      </c>
    </row>
    <row r="38" spans="1:3" x14ac:dyDescent="0.25">
      <c r="A38" s="854"/>
      <c r="B38" s="266" t="s">
        <v>608</v>
      </c>
      <c r="C38" s="261" t="s">
        <v>568</v>
      </c>
    </row>
  </sheetData>
  <autoFilter ref="A3:C38" xr:uid="{00000000-0009-0000-0000-00000E000000}">
    <filterColumn colId="2">
      <filters>
        <filter val="Si"/>
      </filters>
    </filterColumn>
  </autoFilter>
  <mergeCells count="4">
    <mergeCell ref="A5:A16"/>
    <mergeCell ref="A18:A25"/>
    <mergeCell ref="A27:A31"/>
    <mergeCell ref="A35:A38"/>
  </mergeCells>
  <hyperlinks>
    <hyperlink ref="B2" r:id="rId1" xr:uid="{00000000-0004-0000-0E00-000000000000}"/>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topLeftCell="A7" workbookViewId="0">
      <selection activeCell="C7" sqref="C7"/>
    </sheetView>
  </sheetViews>
  <sheetFormatPr baseColWidth="10" defaultRowHeight="15" x14ac:dyDescent="0.25"/>
  <cols>
    <col min="1" max="1" width="9.28515625" customWidth="1"/>
    <col min="2" max="3" width="37.85546875" style="268" customWidth="1"/>
  </cols>
  <sheetData>
    <row r="1" spans="1:3" ht="38.25" customHeight="1" x14ac:dyDescent="0.25">
      <c r="A1" s="259" t="s">
        <v>562</v>
      </c>
      <c r="B1" s="855" t="s">
        <v>609</v>
      </c>
      <c r="C1" s="855"/>
    </row>
    <row r="2" spans="1:3" ht="15.75" thickBot="1" x14ac:dyDescent="0.3"/>
    <row r="3" spans="1:3" ht="21.75" customHeight="1" thickBot="1" x14ac:dyDescent="0.3">
      <c r="B3" s="269" t="s">
        <v>610</v>
      </c>
      <c r="C3" s="270" t="s">
        <v>611</v>
      </c>
    </row>
    <row r="4" spans="1:3" x14ac:dyDescent="0.25">
      <c r="B4" s="856" t="s">
        <v>612</v>
      </c>
      <c r="C4" s="271" t="s">
        <v>613</v>
      </c>
    </row>
    <row r="5" spans="1:3" x14ac:dyDescent="0.25">
      <c r="B5" s="857"/>
      <c r="C5" s="272" t="s">
        <v>388</v>
      </c>
    </row>
    <row r="6" spans="1:3" ht="21" customHeight="1" x14ac:dyDescent="0.25">
      <c r="B6" s="857" t="s">
        <v>614</v>
      </c>
      <c r="C6" s="272" t="s">
        <v>615</v>
      </c>
    </row>
    <row r="7" spans="1:3" ht="30" x14ac:dyDescent="0.25">
      <c r="B7" s="857"/>
      <c r="C7" s="272" t="s">
        <v>616</v>
      </c>
    </row>
    <row r="8" spans="1:3" ht="30" x14ac:dyDescent="0.25">
      <c r="B8" s="857" t="s">
        <v>617</v>
      </c>
      <c r="C8" s="272" t="s">
        <v>405</v>
      </c>
    </row>
    <row r="9" spans="1:3" x14ac:dyDescent="0.25">
      <c r="B9" s="857"/>
      <c r="C9" s="272" t="s">
        <v>618</v>
      </c>
    </row>
    <row r="10" spans="1:3" x14ac:dyDescent="0.25">
      <c r="B10" s="857"/>
      <c r="C10" s="272" t="s">
        <v>619</v>
      </c>
    </row>
    <row r="11" spans="1:3" x14ac:dyDescent="0.25">
      <c r="B11" s="857"/>
      <c r="C11" s="272" t="s">
        <v>620</v>
      </c>
    </row>
    <row r="12" spans="1:3" x14ac:dyDescent="0.25">
      <c r="B12" s="857"/>
      <c r="C12" s="272" t="s">
        <v>621</v>
      </c>
    </row>
    <row r="13" spans="1:3" x14ac:dyDescent="0.25">
      <c r="B13" s="857"/>
      <c r="C13" s="272" t="s">
        <v>622</v>
      </c>
    </row>
    <row r="14" spans="1:3" x14ac:dyDescent="0.25">
      <c r="B14" s="857"/>
      <c r="C14" s="272" t="s">
        <v>623</v>
      </c>
    </row>
    <row r="15" spans="1:3" ht="30" x14ac:dyDescent="0.25">
      <c r="B15" s="857"/>
      <c r="C15" s="272" t="s">
        <v>624</v>
      </c>
    </row>
    <row r="16" spans="1:3" ht="30" x14ac:dyDescent="0.25">
      <c r="B16" s="273" t="s">
        <v>625</v>
      </c>
      <c r="C16" s="272" t="s">
        <v>626</v>
      </c>
    </row>
    <row r="17" spans="2:3" x14ac:dyDescent="0.25">
      <c r="B17" s="857" t="s">
        <v>627</v>
      </c>
      <c r="C17" s="272" t="s">
        <v>534</v>
      </c>
    </row>
    <row r="18" spans="2:3" ht="30" x14ac:dyDescent="0.25">
      <c r="B18" s="857"/>
      <c r="C18" s="272" t="s">
        <v>628</v>
      </c>
    </row>
    <row r="19" spans="2:3" x14ac:dyDescent="0.25">
      <c r="B19" s="857"/>
      <c r="C19" s="272" t="s">
        <v>629</v>
      </c>
    </row>
    <row r="20" spans="2:3" ht="30" x14ac:dyDescent="0.25">
      <c r="B20" s="273" t="s">
        <v>630</v>
      </c>
      <c r="C20" s="272" t="s">
        <v>630</v>
      </c>
    </row>
    <row r="21" spans="2:3" ht="15.75" thickBot="1" x14ac:dyDescent="0.3">
      <c r="B21" s="274" t="s">
        <v>467</v>
      </c>
      <c r="C21" s="275" t="s">
        <v>467</v>
      </c>
    </row>
  </sheetData>
  <mergeCells count="5">
    <mergeCell ref="B1:C1"/>
    <mergeCell ref="B4:B5"/>
    <mergeCell ref="B6:B7"/>
    <mergeCell ref="B8:B15"/>
    <mergeCell ref="B17:B1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293" customWidth="1"/>
    <col min="3" max="3" width="42.5703125" style="1" customWidth="1"/>
    <col min="4" max="5" width="32.5703125" style="1" customWidth="1"/>
    <col min="6" max="16384" width="11.42578125" style="295"/>
  </cols>
  <sheetData>
    <row r="1" spans="1:8" x14ac:dyDescent="0.2">
      <c r="A1" s="614" t="s">
        <v>9</v>
      </c>
      <c r="B1" s="616" t="s">
        <v>10</v>
      </c>
      <c r="C1" s="620" t="s">
        <v>14</v>
      </c>
      <c r="D1" s="616" t="s">
        <v>30</v>
      </c>
      <c r="E1" s="618" t="s">
        <v>31</v>
      </c>
      <c r="H1" s="296" t="s">
        <v>32</v>
      </c>
    </row>
    <row r="2" spans="1:8" ht="13.5" thickBot="1" x14ac:dyDescent="0.25">
      <c r="A2" s="615"/>
      <c r="B2" s="617"/>
      <c r="C2" s="621"/>
      <c r="D2" s="617"/>
      <c r="E2" s="619"/>
      <c r="H2" s="296" t="s">
        <v>33</v>
      </c>
    </row>
    <row r="3" spans="1:8" ht="52.5" customHeight="1" x14ac:dyDescent="0.2">
      <c r="A3" s="599" t="s">
        <v>108</v>
      </c>
      <c r="B3" s="858" t="s">
        <v>109</v>
      </c>
      <c r="C3" s="288" t="s">
        <v>112</v>
      </c>
      <c r="D3" s="288" t="s">
        <v>120</v>
      </c>
      <c r="E3" s="290" t="s">
        <v>121</v>
      </c>
    </row>
    <row r="4" spans="1:8" ht="52.5" customHeight="1" x14ac:dyDescent="0.2">
      <c r="A4" s="596"/>
      <c r="B4" s="597"/>
      <c r="C4" s="289" t="s">
        <v>124</v>
      </c>
      <c r="D4" s="289" t="s">
        <v>120</v>
      </c>
      <c r="E4" s="16" t="s">
        <v>121</v>
      </c>
    </row>
    <row r="5" spans="1:8" ht="62.25" customHeight="1" x14ac:dyDescent="0.2">
      <c r="A5" s="596"/>
      <c r="B5" s="287" t="s">
        <v>155</v>
      </c>
      <c r="C5" s="289" t="s">
        <v>158</v>
      </c>
      <c r="D5" s="287" t="s">
        <v>161</v>
      </c>
      <c r="E5" s="32" t="s">
        <v>162</v>
      </c>
    </row>
    <row r="6" spans="1:8" ht="76.5" customHeight="1" x14ac:dyDescent="0.2">
      <c r="A6" s="596" t="s">
        <v>94</v>
      </c>
      <c r="B6" s="289" t="s">
        <v>95</v>
      </c>
      <c r="C6" s="289" t="s">
        <v>98</v>
      </c>
      <c r="D6" s="289" t="s">
        <v>44</v>
      </c>
      <c r="E6" s="16" t="s">
        <v>104</v>
      </c>
    </row>
    <row r="7" spans="1:8" ht="51.75" customHeight="1" x14ac:dyDescent="0.2">
      <c r="A7" s="596"/>
      <c r="B7" s="595" t="s">
        <v>163</v>
      </c>
      <c r="C7" s="287" t="s">
        <v>165</v>
      </c>
      <c r="D7" s="287" t="s">
        <v>161</v>
      </c>
      <c r="E7" s="32" t="s">
        <v>162</v>
      </c>
    </row>
    <row r="8" spans="1:8" ht="51.75" customHeight="1" x14ac:dyDescent="0.2">
      <c r="A8" s="596"/>
      <c r="B8" s="595"/>
      <c r="C8" s="287" t="s">
        <v>169</v>
      </c>
      <c r="D8" s="287" t="s">
        <v>161</v>
      </c>
      <c r="E8" s="32" t="s">
        <v>162</v>
      </c>
    </row>
    <row r="9" spans="1:8" ht="55.5" customHeight="1" x14ac:dyDescent="0.2">
      <c r="A9" s="596" t="s">
        <v>183</v>
      </c>
      <c r="B9" s="595" t="s">
        <v>184</v>
      </c>
      <c r="C9" s="289" t="s">
        <v>186</v>
      </c>
      <c r="D9" s="287" t="s">
        <v>161</v>
      </c>
      <c r="E9" s="32" t="s">
        <v>541</v>
      </c>
    </row>
    <row r="10" spans="1:8" ht="55.5" customHeight="1" x14ac:dyDescent="0.2">
      <c r="A10" s="596"/>
      <c r="B10" s="595"/>
      <c r="C10" s="289" t="s">
        <v>189</v>
      </c>
      <c r="D10" s="287" t="s">
        <v>161</v>
      </c>
      <c r="E10" s="32" t="s">
        <v>541</v>
      </c>
    </row>
    <row r="11" spans="1:8" ht="55.5" customHeight="1" x14ac:dyDescent="0.2">
      <c r="A11" s="596"/>
      <c r="B11" s="18" t="s">
        <v>229</v>
      </c>
      <c r="C11" s="17" t="s">
        <v>230</v>
      </c>
      <c r="D11" s="18" t="s">
        <v>59</v>
      </c>
      <c r="E11" s="67" t="s">
        <v>219</v>
      </c>
    </row>
    <row r="12" spans="1:8" ht="55.5" customHeight="1" x14ac:dyDescent="0.2">
      <c r="A12" s="596"/>
      <c r="B12" s="643" t="s">
        <v>232</v>
      </c>
      <c r="C12" s="61" t="s">
        <v>235</v>
      </c>
      <c r="D12" s="18" t="s">
        <v>59</v>
      </c>
      <c r="E12" s="67" t="s">
        <v>241</v>
      </c>
    </row>
    <row r="13" spans="1:8" ht="55.5" customHeight="1" x14ac:dyDescent="0.2">
      <c r="A13" s="596"/>
      <c r="B13" s="643"/>
      <c r="C13" s="61" t="s">
        <v>243</v>
      </c>
      <c r="D13" s="18" t="s">
        <v>59</v>
      </c>
      <c r="E13" s="67" t="s">
        <v>241</v>
      </c>
    </row>
    <row r="14" spans="1:8" ht="55.5" customHeight="1" x14ac:dyDescent="0.2">
      <c r="A14" s="596"/>
      <c r="B14" s="643"/>
      <c r="C14" s="61" t="s">
        <v>248</v>
      </c>
      <c r="D14" s="18" t="s">
        <v>59</v>
      </c>
      <c r="E14" s="67" t="s">
        <v>241</v>
      </c>
    </row>
    <row r="15" spans="1:8" ht="55.5" customHeight="1" x14ac:dyDescent="0.2">
      <c r="A15" s="596" t="s">
        <v>170</v>
      </c>
      <c r="B15" s="597" t="s">
        <v>171</v>
      </c>
      <c r="C15" s="289" t="s">
        <v>174</v>
      </c>
      <c r="D15" s="287" t="s">
        <v>161</v>
      </c>
      <c r="E15" s="32" t="s">
        <v>178</v>
      </c>
    </row>
    <row r="16" spans="1:8" ht="55.5" customHeight="1" x14ac:dyDescent="0.2">
      <c r="A16" s="596"/>
      <c r="B16" s="597"/>
      <c r="C16" s="289" t="s">
        <v>179</v>
      </c>
      <c r="D16" s="287" t="s">
        <v>161</v>
      </c>
      <c r="E16" s="32" t="s">
        <v>178</v>
      </c>
    </row>
    <row r="17" spans="1:5" s="297" customFormat="1" ht="51" customHeight="1" x14ac:dyDescent="0.2">
      <c r="A17" s="596" t="s">
        <v>34</v>
      </c>
      <c r="B17" s="289" t="s">
        <v>35</v>
      </c>
      <c r="C17" s="289" t="s">
        <v>37</v>
      </c>
      <c r="D17" s="289" t="s">
        <v>44</v>
      </c>
      <c r="E17" s="16" t="s">
        <v>45</v>
      </c>
    </row>
    <row r="18" spans="1:5" s="297" customFormat="1" ht="33.75" customHeight="1" x14ac:dyDescent="0.2">
      <c r="A18" s="596"/>
      <c r="B18" s="597" t="s">
        <v>48</v>
      </c>
      <c r="C18" s="289" t="s">
        <v>50</v>
      </c>
      <c r="D18" s="289" t="s">
        <v>44</v>
      </c>
      <c r="E18" s="16" t="s">
        <v>45</v>
      </c>
    </row>
    <row r="19" spans="1:5" ht="33.75" customHeight="1" x14ac:dyDescent="0.2">
      <c r="A19" s="596"/>
      <c r="B19" s="597"/>
      <c r="C19" s="17" t="s">
        <v>554</v>
      </c>
      <c r="D19" s="18" t="s">
        <v>59</v>
      </c>
      <c r="E19" s="26" t="s">
        <v>60</v>
      </c>
    </row>
    <row r="20" spans="1:5" ht="36" customHeight="1" x14ac:dyDescent="0.2">
      <c r="A20" s="596"/>
      <c r="B20" s="597" t="s">
        <v>64</v>
      </c>
      <c r="C20" s="289" t="s">
        <v>67</v>
      </c>
      <c r="D20" s="289" t="s">
        <v>44</v>
      </c>
      <c r="E20" s="16" t="s">
        <v>73</v>
      </c>
    </row>
    <row r="21" spans="1:5" ht="36" customHeight="1" x14ac:dyDescent="0.2">
      <c r="A21" s="596"/>
      <c r="B21" s="597"/>
      <c r="C21" s="289" t="s">
        <v>76</v>
      </c>
      <c r="D21" s="289" t="s">
        <v>44</v>
      </c>
      <c r="E21" s="16" t="s">
        <v>83</v>
      </c>
    </row>
    <row r="22" spans="1:5" ht="40.5" customHeight="1" x14ac:dyDescent="0.2">
      <c r="A22" s="596"/>
      <c r="B22" s="597"/>
      <c r="C22" s="289" t="s">
        <v>86</v>
      </c>
      <c r="D22" s="289" t="s">
        <v>44</v>
      </c>
      <c r="E22" s="16" t="s">
        <v>90</v>
      </c>
    </row>
    <row r="23" spans="1:5" ht="48" customHeight="1" x14ac:dyDescent="0.2">
      <c r="A23" s="596"/>
      <c r="B23" s="595" t="s">
        <v>132</v>
      </c>
      <c r="C23" s="287" t="s">
        <v>135</v>
      </c>
      <c r="D23" s="289" t="s">
        <v>120</v>
      </c>
      <c r="E23" s="16" t="s">
        <v>139</v>
      </c>
    </row>
    <row r="24" spans="1:5" ht="48" customHeight="1" x14ac:dyDescent="0.2">
      <c r="A24" s="596"/>
      <c r="B24" s="595"/>
      <c r="C24" s="289" t="s">
        <v>142</v>
      </c>
      <c r="D24" s="289" t="s">
        <v>120</v>
      </c>
      <c r="E24" s="16" t="s">
        <v>139</v>
      </c>
    </row>
    <row r="25" spans="1:5" ht="48" customHeight="1" x14ac:dyDescent="0.2">
      <c r="A25" s="596"/>
      <c r="B25" s="595"/>
      <c r="C25" s="289" t="s">
        <v>146</v>
      </c>
      <c r="D25" s="289" t="s">
        <v>120</v>
      </c>
      <c r="E25" s="16" t="s">
        <v>139</v>
      </c>
    </row>
    <row r="26" spans="1:5" ht="48" customHeight="1" x14ac:dyDescent="0.2">
      <c r="A26" s="596"/>
      <c r="B26" s="595"/>
      <c r="C26" s="289" t="s">
        <v>150</v>
      </c>
      <c r="D26" s="289" t="s">
        <v>120</v>
      </c>
      <c r="E26" s="16" t="s">
        <v>121</v>
      </c>
    </row>
    <row r="27" spans="1:5" ht="61.5" customHeight="1" x14ac:dyDescent="0.2">
      <c r="A27" s="596"/>
      <c r="B27" s="289" t="s">
        <v>192</v>
      </c>
      <c r="C27" s="289" t="s">
        <v>195</v>
      </c>
      <c r="D27" s="287" t="s">
        <v>59</v>
      </c>
      <c r="E27" s="32" t="s">
        <v>198</v>
      </c>
    </row>
    <row r="28" spans="1:5" s="298" customFormat="1" ht="114.75" customHeight="1" x14ac:dyDescent="0.2">
      <c r="A28" s="596"/>
      <c r="B28" s="643" t="s">
        <v>545</v>
      </c>
      <c r="C28" s="17" t="s">
        <v>203</v>
      </c>
      <c r="D28" s="18" t="s">
        <v>59</v>
      </c>
      <c r="E28" s="59" t="s">
        <v>210</v>
      </c>
    </row>
    <row r="29" spans="1:5" ht="51" customHeight="1" x14ac:dyDescent="0.2">
      <c r="A29" s="596"/>
      <c r="B29" s="643"/>
      <c r="C29" s="17" t="s">
        <v>213</v>
      </c>
      <c r="D29" s="18" t="s">
        <v>59</v>
      </c>
      <c r="E29" s="67" t="s">
        <v>219</v>
      </c>
    </row>
    <row r="30" spans="1:5" ht="51" customHeight="1" x14ac:dyDescent="0.2">
      <c r="A30" s="596"/>
      <c r="B30" s="643"/>
      <c r="C30" s="17" t="s">
        <v>222</v>
      </c>
      <c r="D30" s="18" t="s">
        <v>59</v>
      </c>
      <c r="E30" s="67" t="s">
        <v>219</v>
      </c>
    </row>
    <row r="31" spans="1:5" ht="51" customHeight="1" x14ac:dyDescent="0.2">
      <c r="A31" s="596"/>
      <c r="B31" s="640" t="s">
        <v>255</v>
      </c>
      <c r="C31" s="18" t="s">
        <v>258</v>
      </c>
      <c r="D31" s="18" t="s">
        <v>59</v>
      </c>
      <c r="E31" s="26" t="s">
        <v>264</v>
      </c>
    </row>
    <row r="32" spans="1:5" ht="51" customHeight="1" x14ac:dyDescent="0.2">
      <c r="A32" s="596"/>
      <c r="B32" s="640"/>
      <c r="C32" s="61" t="s">
        <v>266</v>
      </c>
      <c r="D32" s="18" t="s">
        <v>59</v>
      </c>
      <c r="E32" s="26" t="s">
        <v>264</v>
      </c>
    </row>
    <row r="33" spans="1:5" s="298" customFormat="1" ht="51" customHeight="1" x14ac:dyDescent="0.2">
      <c r="A33" s="596"/>
      <c r="B33" s="640"/>
      <c r="C33" s="17" t="s">
        <v>271</v>
      </c>
      <c r="D33" s="18" t="s">
        <v>59</v>
      </c>
      <c r="E33" s="26" t="s">
        <v>264</v>
      </c>
    </row>
    <row r="34" spans="1:5" s="298" customFormat="1" ht="51" customHeight="1" x14ac:dyDescent="0.2">
      <c r="A34" s="596"/>
      <c r="B34" s="640"/>
      <c r="C34" s="17" t="s">
        <v>278</v>
      </c>
      <c r="D34" s="18" t="s">
        <v>59</v>
      </c>
      <c r="E34" s="26" t="s">
        <v>264</v>
      </c>
    </row>
    <row r="35" spans="1:5" s="299" customFormat="1" ht="48" customHeight="1" x14ac:dyDescent="0.25">
      <c r="A35" s="596"/>
      <c r="B35" s="289" t="s">
        <v>286</v>
      </c>
      <c r="C35" s="289" t="s">
        <v>289</v>
      </c>
      <c r="D35" s="18" t="s">
        <v>59</v>
      </c>
      <c r="E35" s="16" t="s">
        <v>295</v>
      </c>
    </row>
    <row r="36" spans="1:5" s="300" customFormat="1" ht="48" customHeight="1" x14ac:dyDescent="0.25">
      <c r="A36" s="596"/>
      <c r="B36" s="289" t="s">
        <v>299</v>
      </c>
      <c r="C36" s="289" t="s">
        <v>301</v>
      </c>
      <c r="D36" s="289" t="s">
        <v>304</v>
      </c>
      <c r="E36" s="16" t="s">
        <v>305</v>
      </c>
    </row>
    <row r="37" spans="1:5" s="301" customFormat="1" ht="63.75" customHeight="1" x14ac:dyDescent="0.2">
      <c r="A37" s="596"/>
      <c r="B37" s="287" t="s">
        <v>308</v>
      </c>
      <c r="C37" s="287" t="s">
        <v>309</v>
      </c>
      <c r="D37" s="289" t="s">
        <v>310</v>
      </c>
      <c r="E37" s="32" t="s">
        <v>311</v>
      </c>
    </row>
    <row r="38" spans="1:5" s="301" customFormat="1" ht="51" customHeight="1" x14ac:dyDescent="0.2">
      <c r="A38" s="596"/>
      <c r="B38" s="597" t="s">
        <v>313</v>
      </c>
      <c r="C38" s="289" t="s">
        <v>314</v>
      </c>
      <c r="D38" s="289" t="s">
        <v>310</v>
      </c>
      <c r="E38" s="32" t="s">
        <v>320</v>
      </c>
    </row>
    <row r="39" spans="1:5" s="301" customFormat="1" ht="63.75" customHeight="1" x14ac:dyDescent="0.2">
      <c r="A39" s="596"/>
      <c r="B39" s="597"/>
      <c r="C39" s="289" t="s">
        <v>321</v>
      </c>
      <c r="D39" s="289" t="s">
        <v>310</v>
      </c>
      <c r="E39" s="32" t="s">
        <v>322</v>
      </c>
    </row>
    <row r="40" spans="1:5" s="301" customFormat="1" ht="51" customHeight="1" x14ac:dyDescent="0.2">
      <c r="A40" s="596"/>
      <c r="B40" s="289" t="s">
        <v>324</v>
      </c>
      <c r="C40" s="289" t="s">
        <v>325</v>
      </c>
      <c r="D40" s="289" t="s">
        <v>310</v>
      </c>
      <c r="E40" s="32" t="s">
        <v>322</v>
      </c>
    </row>
    <row r="41" spans="1:5" ht="63.75" customHeight="1" x14ac:dyDescent="0.2">
      <c r="A41" s="596"/>
      <c r="B41" s="595" t="s">
        <v>328</v>
      </c>
      <c r="C41" s="595" t="s">
        <v>331</v>
      </c>
      <c r="D41" s="287" t="s">
        <v>339</v>
      </c>
      <c r="E41" s="32" t="s">
        <v>340</v>
      </c>
    </row>
    <row r="42" spans="1:5" ht="63.75" customHeight="1" x14ac:dyDescent="0.2">
      <c r="A42" s="596"/>
      <c r="B42" s="595"/>
      <c r="C42" s="595"/>
      <c r="D42" s="287" t="s">
        <v>339</v>
      </c>
      <c r="E42" s="32" t="s">
        <v>340</v>
      </c>
    </row>
    <row r="43" spans="1:5" ht="63.75" customHeight="1" x14ac:dyDescent="0.2">
      <c r="A43" s="596"/>
      <c r="B43" s="595"/>
      <c r="C43" s="595"/>
      <c r="D43" s="287" t="s">
        <v>339</v>
      </c>
      <c r="E43" s="32" t="s">
        <v>340</v>
      </c>
    </row>
    <row r="44" spans="1:5" ht="13.5" thickBot="1" x14ac:dyDescent="0.25">
      <c r="A44" s="294"/>
      <c r="B44" s="291"/>
      <c r="C44" s="82"/>
      <c r="D44" s="81"/>
      <c r="E44" s="84"/>
    </row>
    <row r="45" spans="1:5" ht="13.5" thickBot="1" x14ac:dyDescent="0.25">
      <c r="A45" s="4"/>
      <c r="B45" s="292"/>
      <c r="C45" s="4"/>
      <c r="D45" s="27"/>
      <c r="E45" s="27"/>
    </row>
    <row r="46" spans="1:5" ht="40.5" customHeight="1" x14ac:dyDescent="0.2">
      <c r="A46" s="88" t="s">
        <v>346</v>
      </c>
      <c r="B46" s="863" t="s">
        <v>347</v>
      </c>
      <c r="C46" s="863"/>
      <c r="D46" s="863"/>
      <c r="E46" s="864"/>
    </row>
    <row r="47" spans="1:5" ht="40.5" customHeight="1" x14ac:dyDescent="0.2">
      <c r="A47" s="286" t="s">
        <v>348</v>
      </c>
      <c r="B47" s="639" t="s">
        <v>349</v>
      </c>
      <c r="C47" s="639"/>
      <c r="D47" s="639"/>
      <c r="E47" s="688"/>
    </row>
    <row r="48" spans="1:5" ht="30.75" customHeight="1" x14ac:dyDescent="0.2">
      <c r="A48" s="859" t="s">
        <v>350</v>
      </c>
      <c r="B48" s="639" t="s">
        <v>108</v>
      </c>
      <c r="C48" s="639"/>
      <c r="D48" s="639"/>
      <c r="E48" s="688"/>
    </row>
    <row r="49" spans="1:5" ht="30.75" customHeight="1" x14ac:dyDescent="0.2">
      <c r="A49" s="859"/>
      <c r="B49" s="639" t="s">
        <v>94</v>
      </c>
      <c r="C49" s="639"/>
      <c r="D49" s="639"/>
      <c r="E49" s="688"/>
    </row>
    <row r="50" spans="1:5" ht="30.75" customHeight="1" x14ac:dyDescent="0.2">
      <c r="A50" s="859"/>
      <c r="B50" s="639" t="s">
        <v>183</v>
      </c>
      <c r="C50" s="639"/>
      <c r="D50" s="639"/>
      <c r="E50" s="688"/>
    </row>
    <row r="51" spans="1:5" ht="30.75" customHeight="1" x14ac:dyDescent="0.2">
      <c r="A51" s="859"/>
      <c r="B51" s="639" t="s">
        <v>351</v>
      </c>
      <c r="C51" s="639"/>
      <c r="D51" s="639"/>
      <c r="E51" s="688"/>
    </row>
    <row r="52" spans="1:5" ht="30.75" customHeight="1" thickBot="1" x14ac:dyDescent="0.25">
      <c r="A52" s="860"/>
      <c r="B52" s="861" t="s">
        <v>34</v>
      </c>
      <c r="C52" s="861"/>
      <c r="D52" s="861"/>
      <c r="E52" s="862"/>
    </row>
    <row r="53" spans="1:5" x14ac:dyDescent="0.2">
      <c r="A53" s="90"/>
      <c r="B53" s="3"/>
      <c r="C53" s="89"/>
      <c r="D53" s="89"/>
      <c r="E53" s="89"/>
    </row>
  </sheetData>
  <autoFilter ref="A2:H43" xr:uid="{00000000-0009-0000-0000-000010000000}"/>
  <mergeCells count="31">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s>
  <dataValidations count="1">
    <dataValidation type="list" allowBlank="1" showInputMessage="1" showErrorMessage="1" sqref="A13:A16 A9 A3 A6 A17" xr:uid="{00000000-0002-0000-1000-000000000000}">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67"/>
  <sheetViews>
    <sheetView topLeftCell="AK7" zoomScaleNormal="100" zoomScaleSheetLayoutView="85" workbookViewId="0">
      <pane ySplit="3" topLeftCell="A10" activePane="bottomLeft" state="frozen"/>
      <selection activeCell="B9" sqref="B9:B10"/>
      <selection pane="bottomLeft" activeCell="B9" sqref="B9:B10"/>
    </sheetView>
  </sheetViews>
  <sheetFormatPr baseColWidth="10" defaultColWidth="11.42578125" defaultRowHeight="12.75" x14ac:dyDescent="0.2"/>
  <cols>
    <col min="1" max="1" width="9.140625" style="1" customWidth="1"/>
    <col min="2" max="2" width="23.85546875" style="1" hidden="1" customWidth="1"/>
    <col min="3" max="3" width="23.85546875" style="87" hidden="1" customWidth="1"/>
    <col min="4" max="4" width="23.85546875" style="1" hidden="1" customWidth="1"/>
    <col min="5" max="5" width="41.5703125" style="1" hidden="1" customWidth="1"/>
    <col min="6" max="6" width="25.140625" style="1" hidden="1" customWidth="1"/>
    <col min="7" max="7" width="21.5703125" style="1" hidden="1" customWidth="1"/>
    <col min="8" max="8" width="17.42578125" style="1" hidden="1" customWidth="1"/>
    <col min="9" max="9" width="19.42578125" style="1" hidden="1" customWidth="1"/>
    <col min="10" max="10" width="10.28515625" style="354" hidden="1" customWidth="1"/>
    <col min="11" max="11" width="36.7109375" style="1" customWidth="1"/>
    <col min="12" max="12" width="26.85546875" style="1" hidden="1" customWidth="1"/>
    <col min="13" max="13" width="47.85546875" style="1" hidden="1" customWidth="1"/>
    <col min="14" max="14" width="25.42578125" style="1" hidden="1" customWidth="1"/>
    <col min="15" max="15" width="19.42578125" style="1" customWidth="1"/>
    <col min="16" max="16" width="19.42578125" style="1" hidden="1" customWidth="1"/>
    <col min="17" max="17" width="38.42578125" style="1" hidden="1" customWidth="1"/>
    <col min="18" max="18" width="24.7109375" style="1" customWidth="1"/>
    <col min="19" max="20" width="24.140625" style="1" hidden="1" customWidth="1"/>
    <col min="21" max="21" width="21" style="1" hidden="1" customWidth="1"/>
    <col min="22" max="22" width="16.7109375" style="1" hidden="1" customWidth="1"/>
    <col min="23" max="23" width="11.28515625" style="1" customWidth="1"/>
    <col min="24" max="30" width="21.7109375" style="1" hidden="1" customWidth="1"/>
    <col min="31" max="31" width="48.140625" style="1" customWidth="1"/>
    <col min="32" max="32" width="32.28515625" style="1" hidden="1" customWidth="1"/>
    <col min="33" max="33" width="19.42578125" style="1" hidden="1" customWidth="1"/>
    <col min="34" max="35" width="24.42578125" style="1" hidden="1" customWidth="1"/>
    <col min="36" max="36" width="60.7109375" style="1" hidden="1" customWidth="1"/>
    <col min="37" max="37" width="18.42578125" style="1" customWidth="1"/>
    <col min="38" max="38" width="19.7109375" style="1" hidden="1" customWidth="1"/>
    <col min="39" max="44" width="9.5703125" style="1" customWidth="1"/>
    <col min="45" max="46" width="10.85546875" style="1" customWidth="1"/>
    <col min="47" max="47" width="12.85546875" style="1" customWidth="1"/>
    <col min="48" max="49" width="12.85546875" style="1" hidden="1" customWidth="1"/>
    <col min="50" max="50" width="10.85546875" style="1" hidden="1" customWidth="1"/>
    <col min="51" max="51" width="9.28515625" style="1" customWidth="1"/>
    <col min="52" max="53" width="81.140625" style="1" customWidth="1"/>
    <col min="54" max="54" width="110.85546875" style="1" customWidth="1"/>
    <col min="55" max="55" width="13.42578125" style="1" customWidth="1"/>
    <col min="56" max="56" width="3" style="1" customWidth="1"/>
    <col min="57" max="57" width="24.7109375" style="1" hidden="1" customWidth="1"/>
    <col min="58" max="58" width="21" style="1" hidden="1" customWidth="1"/>
    <col min="59" max="59" width="20.5703125" style="1" hidden="1" customWidth="1"/>
    <col min="60" max="60" width="19.42578125" style="1" hidden="1" customWidth="1"/>
    <col min="61" max="16384" width="11.42578125" style="1"/>
  </cols>
  <sheetData>
    <row r="1" spans="1:60" ht="57.75" customHeight="1" thickBot="1" x14ac:dyDescent="0.25">
      <c r="A1" s="710" t="s">
        <v>1282</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710"/>
      <c r="AN1" s="710"/>
      <c r="AO1" s="710"/>
      <c r="AP1" s="710"/>
      <c r="AQ1" s="710"/>
      <c r="AR1" s="710"/>
      <c r="AS1" s="529"/>
      <c r="AT1" s="529"/>
      <c r="AU1" s="529"/>
      <c r="AV1" s="529"/>
      <c r="AW1" s="529"/>
      <c r="AX1" s="529"/>
      <c r="AY1" s="710" t="s">
        <v>1282</v>
      </c>
      <c r="AZ1" s="710"/>
      <c r="BA1" s="710"/>
      <c r="BB1" s="710"/>
      <c r="BC1" s="542"/>
      <c r="BF1" s="11"/>
    </row>
    <row r="2" spans="1:60" ht="6.75" customHeight="1" x14ac:dyDescent="0.2">
      <c r="A2" s="530"/>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530"/>
      <c r="AN2" s="530"/>
      <c r="AO2" s="530"/>
      <c r="AP2" s="530"/>
      <c r="AQ2" s="530"/>
      <c r="AR2" s="530"/>
      <c r="AS2" s="530"/>
      <c r="AT2" s="530"/>
      <c r="AU2" s="530"/>
      <c r="AV2" s="530"/>
      <c r="AW2" s="530"/>
      <c r="AX2" s="530"/>
      <c r="AY2" s="530"/>
      <c r="AZ2" s="530"/>
      <c r="BA2" s="530"/>
      <c r="BB2" s="530"/>
      <c r="BC2" s="530"/>
    </row>
    <row r="3" spans="1:60" ht="19.5" hidden="1" customHeight="1" x14ac:dyDescent="0.2">
      <c r="A3" s="530"/>
      <c r="B3" s="531" t="s">
        <v>2</v>
      </c>
      <c r="C3" s="532">
        <f>'Plan estratégico 2021-2024'!B3</f>
        <v>44537</v>
      </c>
      <c r="D3" s="533"/>
      <c r="E3" s="533"/>
      <c r="F3" s="533"/>
      <c r="G3" s="533"/>
      <c r="H3" s="533"/>
      <c r="I3" s="533"/>
      <c r="J3" s="534"/>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0"/>
      <c r="AN3" s="530"/>
      <c r="AO3" s="530"/>
      <c r="AP3" s="530"/>
      <c r="AQ3" s="530"/>
      <c r="AR3" s="530"/>
      <c r="AS3" s="530"/>
      <c r="AT3" s="530"/>
      <c r="AU3" s="530"/>
      <c r="AV3" s="530"/>
      <c r="AW3" s="530"/>
      <c r="AX3" s="530"/>
      <c r="AY3" s="530"/>
      <c r="AZ3" s="530"/>
      <c r="BA3" s="530"/>
      <c r="BB3" s="530"/>
      <c r="BC3" s="530"/>
    </row>
    <row r="4" spans="1:60" ht="54" hidden="1" customHeight="1" x14ac:dyDescent="0.2">
      <c r="A4" s="530"/>
      <c r="B4" s="531" t="s">
        <v>1</v>
      </c>
      <c r="C4" s="690" t="str">
        <f>'Plan estratégico 2021-2024'!B4</f>
        <v>04 - 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v>
      </c>
      <c r="D4" s="690"/>
      <c r="E4" s="690"/>
      <c r="F4" s="690"/>
      <c r="G4" s="690"/>
      <c r="H4" s="690"/>
      <c r="I4" s="690"/>
      <c r="J4" s="690"/>
      <c r="K4" s="690"/>
      <c r="L4" s="690"/>
      <c r="M4" s="690"/>
      <c r="N4" s="690"/>
      <c r="O4" s="690"/>
      <c r="P4" s="690"/>
      <c r="Q4" s="690"/>
      <c r="R4" s="533"/>
      <c r="S4" s="533"/>
      <c r="T4" s="533"/>
      <c r="U4" s="533"/>
      <c r="V4" s="533"/>
      <c r="W4" s="533"/>
      <c r="X4" s="533"/>
      <c r="Y4" s="533"/>
      <c r="Z4" s="533"/>
      <c r="AA4" s="533"/>
      <c r="AB4" s="533"/>
      <c r="AC4" s="533"/>
      <c r="AD4" s="533"/>
      <c r="AE4" s="533"/>
      <c r="AF4" s="533"/>
      <c r="AG4" s="533"/>
      <c r="AH4" s="533"/>
      <c r="AI4" s="533"/>
      <c r="AJ4" s="533"/>
      <c r="AK4" s="533"/>
      <c r="AL4" s="533"/>
      <c r="AM4" s="530"/>
      <c r="AN4" s="530"/>
      <c r="AO4" s="530"/>
      <c r="AP4" s="530"/>
      <c r="AQ4" s="530"/>
      <c r="AR4" s="530"/>
      <c r="AS4" s="530"/>
      <c r="AT4" s="530"/>
      <c r="AU4" s="530"/>
      <c r="AV4" s="530"/>
      <c r="AW4" s="530"/>
      <c r="AX4" s="530"/>
      <c r="AY4" s="530"/>
      <c r="AZ4" s="530"/>
      <c r="BA4" s="530"/>
      <c r="BB4" s="530"/>
      <c r="BC4" s="530"/>
    </row>
    <row r="5" spans="1:60" ht="6.75" customHeight="1" x14ac:dyDescent="0.2">
      <c r="A5" s="530"/>
      <c r="B5" s="533"/>
      <c r="C5" s="533"/>
      <c r="D5" s="533"/>
      <c r="E5" s="533"/>
      <c r="F5" s="533"/>
      <c r="G5" s="533"/>
      <c r="H5" s="533"/>
      <c r="I5" s="533"/>
      <c r="J5" s="534"/>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0"/>
      <c r="AN5" s="530"/>
      <c r="AO5" s="530"/>
      <c r="AP5" s="530"/>
      <c r="AQ5" s="530"/>
      <c r="AR5" s="530"/>
      <c r="AS5" s="530"/>
      <c r="AT5" s="530"/>
      <c r="AU5" s="530"/>
      <c r="AV5" s="530"/>
      <c r="AW5" s="530"/>
      <c r="AX5" s="530"/>
      <c r="AY5" s="530"/>
      <c r="AZ5" s="530"/>
      <c r="BA5" s="530"/>
      <c r="BB5" s="530"/>
      <c r="BC5" s="530"/>
    </row>
    <row r="6" spans="1:60" ht="17.25" hidden="1" customHeight="1" x14ac:dyDescent="0.2">
      <c r="A6" s="692" t="s">
        <v>3</v>
      </c>
      <c r="B6" s="692"/>
      <c r="C6" s="692"/>
      <c r="D6" s="692"/>
      <c r="E6" s="692"/>
      <c r="F6" s="692"/>
      <c r="G6" s="692"/>
      <c r="H6" s="692"/>
      <c r="I6" s="692"/>
      <c r="J6" s="691" t="s">
        <v>4</v>
      </c>
      <c r="K6" s="691"/>
      <c r="L6" s="691"/>
      <c r="M6" s="691"/>
      <c r="N6" s="691"/>
      <c r="O6" s="691"/>
      <c r="P6" s="691"/>
      <c r="Q6" s="691"/>
      <c r="R6" s="691"/>
      <c r="S6" s="691"/>
      <c r="T6" s="691"/>
      <c r="U6" s="691"/>
      <c r="V6" s="691"/>
      <c r="W6" s="691"/>
      <c r="X6" s="691"/>
      <c r="Y6" s="691"/>
      <c r="Z6" s="691"/>
      <c r="AA6" s="691"/>
      <c r="AB6" s="691"/>
      <c r="AC6" s="691"/>
      <c r="AD6" s="691"/>
      <c r="AE6" s="691"/>
      <c r="AF6" s="691"/>
      <c r="AG6" s="691"/>
      <c r="AH6" s="691"/>
      <c r="AI6" s="691"/>
      <c r="AJ6" s="691"/>
      <c r="AK6" s="691"/>
      <c r="AL6" s="691"/>
      <c r="AO6" s="9" t="s">
        <v>5</v>
      </c>
      <c r="AR6" s="9" t="s">
        <v>5</v>
      </c>
      <c r="AU6" s="9" t="s">
        <v>5</v>
      </c>
      <c r="AX6" s="9" t="s">
        <v>5</v>
      </c>
      <c r="AY6" s="9"/>
    </row>
    <row r="7" spans="1:60" s="370" customFormat="1" ht="6" hidden="1" customHeight="1" x14ac:dyDescent="0.25">
      <c r="A7" s="527">
        <v>1</v>
      </c>
      <c r="B7" s="527">
        <v>2</v>
      </c>
      <c r="C7" s="527">
        <v>3</v>
      </c>
      <c r="D7" s="527">
        <v>4</v>
      </c>
      <c r="E7" s="527">
        <v>5</v>
      </c>
      <c r="F7" s="527">
        <v>6</v>
      </c>
      <c r="G7" s="527">
        <v>7</v>
      </c>
      <c r="H7" s="527">
        <v>8</v>
      </c>
      <c r="I7" s="527">
        <v>9</v>
      </c>
      <c r="J7" s="527">
        <v>10</v>
      </c>
      <c r="K7" s="527">
        <v>11</v>
      </c>
      <c r="L7" s="527">
        <v>12</v>
      </c>
      <c r="M7" s="527">
        <v>13</v>
      </c>
      <c r="N7" s="527">
        <v>14</v>
      </c>
      <c r="O7" s="527">
        <v>15</v>
      </c>
      <c r="P7" s="527">
        <v>16</v>
      </c>
      <c r="Q7" s="527">
        <v>17</v>
      </c>
      <c r="R7" s="527">
        <v>18</v>
      </c>
      <c r="S7" s="527">
        <v>19</v>
      </c>
      <c r="T7" s="527">
        <v>20</v>
      </c>
      <c r="U7" s="527">
        <v>21</v>
      </c>
      <c r="V7" s="527">
        <v>22</v>
      </c>
      <c r="W7" s="527">
        <v>23</v>
      </c>
      <c r="X7" s="527">
        <v>24</v>
      </c>
      <c r="Y7" s="527">
        <v>25</v>
      </c>
      <c r="Z7" s="527">
        <v>26</v>
      </c>
      <c r="AA7" s="527">
        <v>27</v>
      </c>
      <c r="AB7" s="527">
        <v>28</v>
      </c>
      <c r="AC7" s="527">
        <v>29</v>
      </c>
      <c r="AD7" s="527">
        <v>30</v>
      </c>
      <c r="AE7" s="527">
        <v>31</v>
      </c>
      <c r="AF7" s="527">
        <v>32</v>
      </c>
      <c r="AG7" s="527">
        <v>33</v>
      </c>
      <c r="AH7" s="527">
        <v>34</v>
      </c>
      <c r="AI7" s="527">
        <v>35</v>
      </c>
      <c r="AJ7" s="527">
        <v>36</v>
      </c>
      <c r="AK7" s="527">
        <v>37</v>
      </c>
      <c r="AL7" s="527">
        <v>38</v>
      </c>
      <c r="AO7" s="371"/>
      <c r="AR7" s="371"/>
      <c r="AU7" s="371"/>
      <c r="AX7" s="371"/>
      <c r="AY7" s="371"/>
    </row>
    <row r="8" spans="1:60" ht="15" customHeight="1" x14ac:dyDescent="0.2">
      <c r="A8" s="699" t="s">
        <v>782</v>
      </c>
      <c r="B8" s="699" t="s">
        <v>6</v>
      </c>
      <c r="C8" s="699" t="s">
        <v>7</v>
      </c>
      <c r="D8" s="699" t="s">
        <v>8</v>
      </c>
      <c r="E8" s="699" t="s">
        <v>9</v>
      </c>
      <c r="F8" s="699" t="s">
        <v>10</v>
      </c>
      <c r="G8" s="700" t="s">
        <v>11</v>
      </c>
      <c r="H8" s="699" t="s">
        <v>12</v>
      </c>
      <c r="I8" s="699" t="s">
        <v>13</v>
      </c>
      <c r="J8" s="699" t="s">
        <v>782</v>
      </c>
      <c r="K8" s="700" t="s">
        <v>14</v>
      </c>
      <c r="L8" s="526"/>
      <c r="M8" s="699" t="s">
        <v>15</v>
      </c>
      <c r="N8" s="699" t="s">
        <v>16</v>
      </c>
      <c r="O8" s="699" t="s">
        <v>17</v>
      </c>
      <c r="P8" s="699" t="s">
        <v>18</v>
      </c>
      <c r="Q8" s="700" t="s">
        <v>19</v>
      </c>
      <c r="R8" s="699" t="s">
        <v>20</v>
      </c>
      <c r="S8" s="699" t="s">
        <v>924</v>
      </c>
      <c r="T8" s="699" t="s">
        <v>925</v>
      </c>
      <c r="U8" s="700" t="s">
        <v>21</v>
      </c>
      <c r="V8" s="700" t="s">
        <v>22</v>
      </c>
      <c r="W8" s="700" t="s">
        <v>23</v>
      </c>
      <c r="X8" s="700"/>
      <c r="Y8" s="700"/>
      <c r="Z8" s="700"/>
      <c r="AA8" s="700" t="s">
        <v>24</v>
      </c>
      <c r="AB8" s="700"/>
      <c r="AC8" s="700"/>
      <c r="AD8" s="700"/>
      <c r="AE8" s="700" t="s">
        <v>25</v>
      </c>
      <c r="AF8" s="700" t="s">
        <v>26</v>
      </c>
      <c r="AG8" s="699" t="s">
        <v>27</v>
      </c>
      <c r="AH8" s="700" t="s">
        <v>21</v>
      </c>
      <c r="AI8" s="700" t="s">
        <v>28</v>
      </c>
      <c r="AJ8" s="700" t="s">
        <v>29</v>
      </c>
      <c r="AK8" s="699" t="s">
        <v>30</v>
      </c>
      <c r="AL8" s="699" t="s">
        <v>31</v>
      </c>
      <c r="AM8" s="700" t="s">
        <v>968</v>
      </c>
      <c r="AN8" s="700"/>
      <c r="AO8" s="700"/>
      <c r="AP8" s="700"/>
      <c r="AQ8" s="700"/>
      <c r="AR8" s="700"/>
      <c r="AS8" s="700"/>
      <c r="AT8" s="700"/>
      <c r="AU8" s="700"/>
      <c r="AV8" s="700"/>
      <c r="AW8" s="700"/>
      <c r="AX8" s="700"/>
      <c r="AY8" s="699" t="s">
        <v>782</v>
      </c>
      <c r="AZ8" s="700" t="s">
        <v>1228</v>
      </c>
      <c r="BA8" s="700"/>
      <c r="BB8" s="700"/>
      <c r="BC8" s="543"/>
      <c r="BE8" s="699" t="s">
        <v>1074</v>
      </c>
      <c r="BF8" s="699"/>
      <c r="BG8" s="699"/>
      <c r="BH8" s="699"/>
    </row>
    <row r="9" spans="1:60" ht="15.75" customHeight="1" x14ac:dyDescent="0.2">
      <c r="A9" s="699"/>
      <c r="B9" s="699"/>
      <c r="C9" s="699"/>
      <c r="D9" s="699"/>
      <c r="E9" s="699"/>
      <c r="F9" s="699"/>
      <c r="G9" s="700"/>
      <c r="H9" s="699"/>
      <c r="I9" s="699"/>
      <c r="J9" s="699"/>
      <c r="K9" s="700"/>
      <c r="L9" s="526"/>
      <c r="M9" s="699"/>
      <c r="N9" s="699"/>
      <c r="O9" s="699"/>
      <c r="P9" s="699"/>
      <c r="Q9" s="700"/>
      <c r="R9" s="699"/>
      <c r="S9" s="699"/>
      <c r="T9" s="699"/>
      <c r="U9" s="700"/>
      <c r="V9" s="700"/>
      <c r="W9" s="526">
        <v>2021</v>
      </c>
      <c r="X9" s="526">
        <v>2022</v>
      </c>
      <c r="Y9" s="526">
        <v>2023</v>
      </c>
      <c r="Z9" s="526">
        <v>2024</v>
      </c>
      <c r="AA9" s="526">
        <v>2021</v>
      </c>
      <c r="AB9" s="526">
        <v>2022</v>
      </c>
      <c r="AC9" s="526">
        <v>2023</v>
      </c>
      <c r="AD9" s="526">
        <v>2024</v>
      </c>
      <c r="AE9" s="700"/>
      <c r="AF9" s="700"/>
      <c r="AG9" s="699"/>
      <c r="AH9" s="700"/>
      <c r="AI9" s="700"/>
      <c r="AJ9" s="700"/>
      <c r="AK9" s="699"/>
      <c r="AL9" s="699"/>
      <c r="AM9" s="525" t="s">
        <v>714</v>
      </c>
      <c r="AN9" s="525" t="s">
        <v>715</v>
      </c>
      <c r="AO9" s="525" t="s">
        <v>716</v>
      </c>
      <c r="AP9" s="525" t="s">
        <v>717</v>
      </c>
      <c r="AQ9" s="525" t="s">
        <v>718</v>
      </c>
      <c r="AR9" s="525" t="s">
        <v>719</v>
      </c>
      <c r="AS9" s="525" t="s">
        <v>720</v>
      </c>
      <c r="AT9" s="525" t="s">
        <v>721</v>
      </c>
      <c r="AU9" s="525" t="s">
        <v>722</v>
      </c>
      <c r="AV9" s="525" t="s">
        <v>723</v>
      </c>
      <c r="AW9" s="525" t="s">
        <v>724</v>
      </c>
      <c r="AX9" s="525" t="s">
        <v>725</v>
      </c>
      <c r="AY9" s="699"/>
      <c r="AZ9" s="525" t="s">
        <v>1303</v>
      </c>
      <c r="BA9" s="525" t="s">
        <v>1304</v>
      </c>
      <c r="BB9" s="538" t="s">
        <v>1305</v>
      </c>
      <c r="BC9" s="538" t="s">
        <v>1003</v>
      </c>
      <c r="BE9" s="439" t="s">
        <v>1070</v>
      </c>
      <c r="BF9" s="439" t="s">
        <v>1071</v>
      </c>
      <c r="BG9" s="439" t="s">
        <v>1072</v>
      </c>
      <c r="BH9" s="439" t="s">
        <v>1073</v>
      </c>
    </row>
    <row r="10" spans="1:60" s="11" customFormat="1" ht="108.75" customHeight="1" x14ac:dyDescent="0.2">
      <c r="A10" s="307" t="str">
        <f>+'Plan estratégico 2021-2024'!I9</f>
        <v>5.1.1</v>
      </c>
      <c r="B10" s="523" t="str">
        <f>+'Plan estratégico 2021-2024'!A9</f>
        <v>3. Salud y bienestar.
16. Paz, justicia e instituciones sólidas.</v>
      </c>
      <c r="C10" s="523" t="str">
        <f>+'Plan estratégico 2021-2024'!B9</f>
        <v>Propósito 1
Logro de ciudad: 3 - 5
Propósito 5
Logro de ciudad: 30</v>
      </c>
      <c r="D10" s="523" t="str">
        <f>+'Plan estratégico 2021-2024'!C9</f>
        <v>Gestión del conocimiento y la innovación.</v>
      </c>
      <c r="E10" s="523" t="str">
        <f>+'Plan estratégico 2021-2024'!D9</f>
        <v>05 - Fortalecer la capacidad organizacional de Capital para ser una empresa transparente, eficiente y sostenible.</v>
      </c>
      <c r="F10" s="523" t="str">
        <f>+'Plan estratégico 2021-2024'!E9</f>
        <v>5.1. Adopción del enfoque integral gestión del conocimiento de Capital</v>
      </c>
      <c r="G10" s="523" t="str">
        <f>+'Plan estratégico 2021-2024'!F9</f>
        <v>Implementar 1 estrategia de gestión del conocimiento.</v>
      </c>
      <c r="H10" s="523" t="str">
        <f>+'Plan estratégico 2021-2024'!G9</f>
        <v>Número de estrategias desarrolladas</v>
      </c>
      <c r="I10" s="523" t="str">
        <f>+'Plan estratégico 2021-2024'!H9</f>
        <v>1 Eficacia: (cumplimiento de metas)</v>
      </c>
      <c r="J10" s="520" t="str">
        <f>+'Plan estratégico 2021-2024'!I9</f>
        <v>5.1.1</v>
      </c>
      <c r="K10" s="520" t="str">
        <f>+'Plan estratégico 2021-2024'!J9</f>
        <v>Impulso y apropiación de herramientas de lecciones aprendidas.</v>
      </c>
      <c r="L10" s="520" t="str">
        <f>CONCATENATE(J10," ",K10)</f>
        <v>5.1.1 Impulso y apropiación de herramientas de lecciones aprendidas.</v>
      </c>
      <c r="M10" s="520" t="str">
        <f>+'Plan estratégico 2021-2024'!K9</f>
        <v>Posicionar al interior de Capital la cultura de gestión del conocimiento</v>
      </c>
      <c r="N10" s="520" t="str">
        <f>+'Plan estratégico 2021-2024'!L9</f>
        <v>Lecciones aprendidas consolidadas a nivel interno.</v>
      </c>
      <c r="O10" s="520" t="str">
        <f>+'Plan estratégico 2021-2024'!M9</f>
        <v>Número de lecciones aprendidas consolidadas.</v>
      </c>
      <c r="P10" s="520" t="str">
        <f>+'Plan estratégico 2021-2024'!N9</f>
        <v>1 Eficacia: (cumplimiento de metas)</v>
      </c>
      <c r="Q10" s="520" t="str">
        <f>+'Plan estratégico 2021-2024'!O9</f>
        <v>Medir la cantidad de lecciones aprendidas que se consolidan en la herramienta.</v>
      </c>
      <c r="R10" s="518" t="str">
        <f>+'Plan estratégico 2021-2024'!P9</f>
        <v>Lecciones aprendidas documentadas / Lecciones aprendidas identificadas para documentar.</v>
      </c>
      <c r="S10" s="520" t="s">
        <v>868</v>
      </c>
      <c r="T10" s="518" t="s">
        <v>1075</v>
      </c>
      <c r="U10" s="520" t="str">
        <f>+'Plan estratégico 2021-2024'!Q9</f>
        <v>Número (#).</v>
      </c>
      <c r="V10" s="520">
        <f>+'Plan estratégico 2021-2024'!R9</f>
        <v>1</v>
      </c>
      <c r="W10" s="307">
        <f>+'Plan estratégico 2021-2024'!S9</f>
        <v>2</v>
      </c>
      <c r="X10" s="520">
        <f>+'Plan estratégico 2021-2024'!T9</f>
        <v>2</v>
      </c>
      <c r="Y10" s="520">
        <f>+'Plan estratégico 2021-2024'!U9</f>
        <v>3</v>
      </c>
      <c r="Z10" s="520">
        <f>+'Plan estratégico 2021-2024'!V9</f>
        <v>3</v>
      </c>
      <c r="AA10" s="520" t="str">
        <f>+'Plan estratégico 2021-2024'!W9</f>
        <v>-</v>
      </c>
      <c r="AB10" s="520" t="str">
        <f>+'Plan estratégico 2021-2024'!X9</f>
        <v>-</v>
      </c>
      <c r="AC10" s="520" t="str">
        <f>+'Plan estratégico 2021-2024'!Y9</f>
        <v>-</v>
      </c>
      <c r="AD10" s="520" t="str">
        <f>+'Plan estratégico 2021-2024'!Z9</f>
        <v>-</v>
      </c>
      <c r="AE10" s="520" t="str">
        <f>+'Plan estratégico 2021-2024'!AA9</f>
        <v>1. Definición de los proyectos a los cuales se les documentará lecciones aprendidas. (15%)
2. Elaboración de los documentos de lecciones aprendidas. (60%)
3. Presentación de resultados. (25%)</v>
      </c>
      <c r="AF10" s="520" t="str">
        <f>+'Plan estratégico 2021-2024'!AB9</f>
        <v>Cumplimiento de las actividades de gestión, según su ponderación.</v>
      </c>
      <c r="AG10" s="520" t="str">
        <f>+'Plan estratégico 2021-2024'!AC9</f>
        <v>2 Eficiencia: (uso de los recursos)</v>
      </c>
      <c r="AH10" s="520" t="str">
        <f>+'Plan estratégico 2021-2024'!AD9</f>
        <v>Porcentaje (%)</v>
      </c>
      <c r="AI10" s="520" t="str">
        <f>+'Plan estratégico 2021-2024'!AE9</f>
        <v>Trimestral.</v>
      </c>
      <c r="AJ10" s="520" t="str">
        <f>+'Plan estratégico 2021-2024'!AF9</f>
        <v>No aplica.</v>
      </c>
      <c r="AK10" s="520" t="str">
        <f>+'Plan estratégico 2021-2024'!AG9</f>
        <v>Asesora de planeación.</v>
      </c>
      <c r="AL10" s="520" t="str">
        <f>+'Plan estratégico 2021-2024'!AH9</f>
        <v>Profesional de apoyo de Planeación.</v>
      </c>
      <c r="AM10" s="709">
        <f>((0.7*1)+(0*1))/2</f>
        <v>0.35</v>
      </c>
      <c r="AN10" s="709"/>
      <c r="AO10" s="709"/>
      <c r="AP10" s="709">
        <f>((0.7*1)+(0.8*1))/2</f>
        <v>0.75</v>
      </c>
      <c r="AQ10" s="709"/>
      <c r="AR10" s="709"/>
      <c r="AS10" s="709">
        <f>2/2</f>
        <v>1</v>
      </c>
      <c r="AT10" s="709"/>
      <c r="AU10" s="709"/>
      <c r="AV10" s="709"/>
      <c r="AW10" s="709"/>
      <c r="AX10" s="709"/>
      <c r="AY10" s="307" t="str">
        <f>A10</f>
        <v>5.1.1</v>
      </c>
      <c r="AZ10" s="536" t="s">
        <v>1349</v>
      </c>
      <c r="BA10" s="519" t="s">
        <v>1350</v>
      </c>
      <c r="BB10" s="536" t="s">
        <v>1351</v>
      </c>
      <c r="BC10" s="411" t="s">
        <v>1006</v>
      </c>
      <c r="BD10" s="437"/>
      <c r="BE10" s="404"/>
      <c r="BF10" s="404"/>
      <c r="BG10" s="404"/>
      <c r="BH10" s="404"/>
    </row>
    <row r="11" spans="1:60" s="27" customFormat="1" ht="208.5" customHeight="1" x14ac:dyDescent="0.2">
      <c r="A11" s="307" t="str">
        <f>+'Plan estratégico 2021-2024'!I10</f>
        <v>5.1.2</v>
      </c>
      <c r="B11" s="523" t="str">
        <f>+'Plan estratégico 2021-2024'!A9</f>
        <v>3. Salud y bienestar.
16. Paz, justicia e instituciones sólidas.</v>
      </c>
      <c r="C11" s="523" t="str">
        <f>+'Plan estratégico 2021-2024'!B9</f>
        <v>Propósito 1
Logro de ciudad: 3 - 5
Propósito 5
Logro de ciudad: 30</v>
      </c>
      <c r="D11" s="523" t="str">
        <f>+'Plan estratégico 2021-2024'!C9</f>
        <v>Gestión del conocimiento y la innovación.</v>
      </c>
      <c r="E11" s="523" t="str">
        <f>+'Plan estratégico 2021-2024'!D9</f>
        <v>05 - Fortalecer la capacidad organizacional de Capital para ser una empresa transparente, eficiente y sostenible.</v>
      </c>
      <c r="F11" s="523" t="str">
        <f>+'Plan estratégico 2021-2024'!E9</f>
        <v>5.1. Adopción del enfoque integral gestión del conocimiento de Capital</v>
      </c>
      <c r="G11" s="523" t="str">
        <f>+'Plan estratégico 2021-2024'!F9</f>
        <v>Implementar 1 estrategia de gestión del conocimiento.</v>
      </c>
      <c r="H11" s="523" t="str">
        <f>+'Plan estratégico 2021-2024'!G9</f>
        <v>Número de estrategias desarrolladas</v>
      </c>
      <c r="I11" s="523" t="str">
        <f>+'Plan estratégico 2021-2024'!H9</f>
        <v>1 Eficacia: (cumplimiento de metas)</v>
      </c>
      <c r="J11" s="520" t="str">
        <f>+'Plan estratégico 2021-2024'!I10</f>
        <v>5.1.2</v>
      </c>
      <c r="K11" s="520" t="str">
        <f>+'Plan estratégico 2021-2024'!J10</f>
        <v>Plan Institucional de Capacitación - PIC</v>
      </c>
      <c r="L11" s="520" t="str">
        <f t="shared" ref="L11:L57" si="0">CONCATENATE(J11," ",K11)</f>
        <v>5.1.2 Plan Institucional de Capacitación - PIC</v>
      </c>
      <c r="M11" s="520" t="str">
        <f>+'Plan estratégico 2021-2024'!K10</f>
        <v>Fomentar espacios de difusión del conocimiento interno, encaminados a fortalecer las competencias individuales y colectivas de los colaboradores, generando mejores prácticas de gestión. (Anexo 2).</v>
      </c>
      <c r="N11" s="520" t="str">
        <f>+'Plan estratégico 2021-2024'!L10</f>
        <v>Documento escrito del plan de Institucional de Capacitación</v>
      </c>
      <c r="O11" s="518" t="str">
        <f>+'Plan estratégico 2021-2024'!M10</f>
        <v>Porcentaje de avance en la implementación del plan institucional de capacitación</v>
      </c>
      <c r="P11" s="520" t="str">
        <f>+'Plan estratégico 2021-2024'!N10</f>
        <v>1 Eficacia: (cumplimiento de metas)</v>
      </c>
      <c r="Q11" s="520" t="str">
        <f>+'Plan estratégico 2021-2024'!O10</f>
        <v>Realizar el seguimiento al cumplimiento de las acciones definidas en el Plan Institucional de Capacitación de la vigencia 2021.</v>
      </c>
      <c r="R11" s="520" t="str">
        <f>+'Plan estratégico 2021-2024'!P10</f>
        <v>(Porcentaje de avances en el cumplimiento de las acciones programadas en el Plan Institucional de Capacitación / Porcentaje programado de cumplimiento del Plan Institucional de Capacitación para la vigencia)*100%.</v>
      </c>
      <c r="S11" s="524" t="s">
        <v>869</v>
      </c>
      <c r="T11" s="524" t="s">
        <v>871</v>
      </c>
      <c r="U11" s="520" t="str">
        <f>+'Plan estratégico 2021-2024'!Q10</f>
        <v>Porcentaje (%).</v>
      </c>
      <c r="V11" s="520" t="str">
        <f>+'Plan estratégico 2021-2024'!R10</f>
        <v>No aplica.</v>
      </c>
      <c r="W11" s="446">
        <f>+'Plan estratégico 2021-2024'!S10</f>
        <v>0.91</v>
      </c>
      <c r="X11" s="394">
        <f>+'Plan estratégico 2021-2024'!T10</f>
        <v>0.91</v>
      </c>
      <c r="Y11" s="394">
        <f>+'Plan estratégico 2021-2024'!U10</f>
        <v>0.91</v>
      </c>
      <c r="Z11" s="394">
        <f>+'Plan estratégico 2021-2024'!V10</f>
        <v>0.91</v>
      </c>
      <c r="AA11" s="395">
        <f>+'Plan estratégico 2021-2024'!W10</f>
        <v>26840770</v>
      </c>
      <c r="AB11" s="395">
        <f>+'Plan estratégico 2021-2024'!X10</f>
        <v>27645993.100000001</v>
      </c>
      <c r="AC11" s="395">
        <f>+'Plan estratégico 2021-2024'!Y10</f>
        <v>28475372.893000003</v>
      </c>
      <c r="AD11" s="395">
        <f>+'Plan estratégico 2021-2024'!Z10</f>
        <v>29329634.079790004</v>
      </c>
      <c r="AE11" s="520" t="str">
        <f>+'Plan estratégico 2021-2024'!AA10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520" t="str">
        <f>+'Plan estratégico 2021-2024'!AB10</f>
        <v>Cumplimiento de las actividades de gestión, según su ponderación.</v>
      </c>
      <c r="AG11" s="520" t="str">
        <f>+'Plan estratégico 2021-2024'!AC10</f>
        <v>2 Eficiencia: (uso de los recursos)</v>
      </c>
      <c r="AH11" s="520" t="str">
        <f>+'Plan estratégico 2021-2024'!AD10</f>
        <v>Porcentaje (%)</v>
      </c>
      <c r="AI11" s="520" t="str">
        <f>+'Plan estratégico 2021-2024'!AE10</f>
        <v>Trimestral.</v>
      </c>
      <c r="AJ11" s="520" t="str">
        <f>+'Plan estratégico 2021-2024'!AF10</f>
        <v>No aplica.</v>
      </c>
      <c r="AK11" s="520" t="str">
        <f>+'Plan estratégico 2021-2024'!AG10</f>
        <v>Subdirectora Administrativa</v>
      </c>
      <c r="AL11" s="520" t="str">
        <f>+'Plan estratégico 2021-2024'!AH10</f>
        <v>Profesional de Recursos Humanos</v>
      </c>
      <c r="AM11" s="708">
        <f>6/1</f>
        <v>6</v>
      </c>
      <c r="AN11" s="708"/>
      <c r="AO11" s="708"/>
      <c r="AP11" s="696">
        <f>120/100</f>
        <v>1.2</v>
      </c>
      <c r="AQ11" s="696"/>
      <c r="AR11" s="696"/>
      <c r="AS11" s="696">
        <f>106/100</f>
        <v>1.06</v>
      </c>
      <c r="AT11" s="696"/>
      <c r="AU11" s="696"/>
      <c r="AV11" s="708"/>
      <c r="AW11" s="708"/>
      <c r="AX11" s="708"/>
      <c r="AY11" s="307" t="str">
        <f t="shared" ref="AY11:AY57" si="1">A11</f>
        <v>5.1.2</v>
      </c>
      <c r="AZ11" s="522" t="s">
        <v>992</v>
      </c>
      <c r="BA11" s="522" t="s">
        <v>1224</v>
      </c>
      <c r="BB11" s="537" t="s">
        <v>1342</v>
      </c>
      <c r="BC11" s="411" t="s">
        <v>1006</v>
      </c>
      <c r="BE11" s="404" t="s">
        <v>1045</v>
      </c>
      <c r="BF11" s="404" t="s">
        <v>1025</v>
      </c>
      <c r="BG11" s="404" t="s">
        <v>1026</v>
      </c>
      <c r="BH11" s="436" t="s">
        <v>1023</v>
      </c>
    </row>
    <row r="12" spans="1:60" ht="237" customHeight="1" x14ac:dyDescent="0.2">
      <c r="A12" s="307" t="str">
        <f>+'Plan estratégico 2021-2024'!I11</f>
        <v>5.2.1</v>
      </c>
      <c r="B12" s="523" t="str">
        <f>+'Plan estratégico 2021-2024'!A11</f>
        <v>16. Paz, justicia e instituciones sólidas.</v>
      </c>
      <c r="C12" s="523" t="str">
        <f>+'Plan estratégico 2021-2024'!B11</f>
        <v>Propósito 5 
Logro de ciudad: 30</v>
      </c>
      <c r="D12" s="523" t="str">
        <f>+'Plan estratégico 2021-2024'!C11</f>
        <v>Planeación estratégica.
Seguimiento y evaluación del desempeño institucional</v>
      </c>
      <c r="E12" s="523" t="str">
        <f>+'Plan estratégico 2021-2024'!D11</f>
        <v>05 - Fortalecer la capacidad organizacional de Capital para ser una empresa transparente, eficiente y sostenible.</v>
      </c>
      <c r="F12" s="523" t="str">
        <f>+'Plan estratégico 2021-2024'!E11</f>
        <v>5.2. Fortalecimiento de la cultura de la planeación</v>
      </c>
      <c r="G12" s="523" t="str">
        <f>+'Plan estratégico 2021-2024'!F11</f>
        <v>Lograr niveles de cumplimiento superiores al 95% en la implementación del Plan de Fortalecimiento institucional.</v>
      </c>
      <c r="H12" s="523" t="str">
        <f>+'Plan estratégico 2021-2024'!G11</f>
        <v>Promedio de implementación de resultados del plan de fortalecimiento para las vigencias de medición.</v>
      </c>
      <c r="I12" s="523" t="str">
        <f>+'Plan estratégico 2021-2024'!H11</f>
        <v>2 Eficiencia: (uso de los recursos)</v>
      </c>
      <c r="J12" s="520" t="str">
        <f>+'Plan estratégico 2021-2024'!I11</f>
        <v>5.2.1</v>
      </c>
      <c r="K12" s="520" t="str">
        <f>+'Plan estratégico 2021-2024'!J11</f>
        <v>Plan de Fortalecimiento Institucional - PFI</v>
      </c>
      <c r="L12" s="520" t="str">
        <f t="shared" si="0"/>
        <v>5.2.1 Plan de Fortalecimiento Institucional - PFI</v>
      </c>
      <c r="M12" s="520" t="str">
        <f>+'Plan estratégico 2021-2024'!K11</f>
        <v>Hacer seguimiento a la implementación de las acciones definidas para el cumplimiento del Modelo Integrado de Planeación y Gestión - MIPG, a través del Plan de Fortalecimiento Institucional - PFI. (Anexo 1).</v>
      </c>
      <c r="N12" s="520" t="str">
        <f>+'Plan estratégico 2021-2024'!L11</f>
        <v>Seguimientos realizados al Plan de Fortalecimiento Institucional - PFI</v>
      </c>
      <c r="O12" s="520" t="str">
        <f>+'Plan estratégico 2021-2024'!M11</f>
        <v>Porcentaje de cumplimiento de los resultados del plan de fortalecimiento institucional.</v>
      </c>
      <c r="P12" s="520" t="str">
        <f>+'Plan estratégico 2021-2024'!N11</f>
        <v>2 Eficiencia: (uso de los recursos)</v>
      </c>
      <c r="Q12" s="518" t="str">
        <f>+'Plan estratégico 2021-2024'!O11</f>
        <v>Realizar seguimientos sobre los avances mensuales a los resultados del plan de fortalecimiento institucional, con el fin de cumplir los requisitos de implementación y mantenimiento del Modelo Integrado de Planeación y Gestión - MIPG.</v>
      </c>
      <c r="R12" s="520" t="str">
        <f>+'Plan estratégico 2021-2024'!P11</f>
        <v>Porcentaje de avances ejecutado para el mes / Porcentaje de avances programado para el mes</v>
      </c>
      <c r="S12" s="520" t="s">
        <v>965</v>
      </c>
      <c r="T12" s="520" t="s">
        <v>966</v>
      </c>
      <c r="U12" s="520" t="str">
        <f>+'Plan estratégico 2021-2024'!Q11</f>
        <v>Porcentaje (%).</v>
      </c>
      <c r="V12" s="396">
        <f>+'Plan estratégico 2021-2024'!R11</f>
        <v>0.95440000000000003</v>
      </c>
      <c r="W12" s="446">
        <f>+'Plan estratégico 2021-2024'!S11</f>
        <v>0.95</v>
      </c>
      <c r="X12" s="394">
        <f>+'Plan estratégico 2021-2024'!T11</f>
        <v>0.95</v>
      </c>
      <c r="Y12" s="394">
        <f>+'Plan estratégico 2021-2024'!U11</f>
        <v>0.95</v>
      </c>
      <c r="Z12" s="394">
        <f>+'Plan estratégico 2021-2024'!V11</f>
        <v>0.95</v>
      </c>
      <c r="AA12" s="520" t="str">
        <f>+'Plan estratégico 2021-2024'!W11</f>
        <v>-</v>
      </c>
      <c r="AB12" s="520" t="str">
        <f>+'Plan estratégico 2021-2024'!X11</f>
        <v>-</v>
      </c>
      <c r="AC12" s="520" t="str">
        <f>+'Plan estratégico 2021-2024'!Y11</f>
        <v>-</v>
      </c>
      <c r="AD12" s="520" t="str">
        <f>+'Plan estratégico 2021-2024'!Z11</f>
        <v>-</v>
      </c>
      <c r="AE12" s="520" t="str">
        <f>+'Plan estratégico 2021-2024'!AA11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520" t="str">
        <f>+'Plan estratégico 2021-2024'!AB11</f>
        <v>1. Número de seguimientos realizados al PFI / 12
2. Número de reportes de avances consolidados / 4
3. Número de socializaciones del plan de fortalecimiento / número de sesiones del equipo transversal del MIPG.</v>
      </c>
      <c r="AG12" s="520" t="str">
        <f>+'Plan estratégico 2021-2024'!AC11</f>
        <v>2 Eficiencia: (uso de los recursos)</v>
      </c>
      <c r="AH12" s="520" t="str">
        <f>+'Plan estratégico 2021-2024'!AD11</f>
        <v>Porcentaje (%)</v>
      </c>
      <c r="AI12" s="520" t="str">
        <f>+'Plan estratégico 2021-2024'!AE11</f>
        <v>Mensual.</v>
      </c>
      <c r="AJ12" s="520" t="str">
        <f>+'Plan estratégico 2021-2024'!AF11</f>
        <v>No aplica.</v>
      </c>
      <c r="AK12" s="520" t="str">
        <f>+'Plan estratégico 2021-2024'!AG11</f>
        <v>Asesora de planeación.</v>
      </c>
      <c r="AL12" s="520" t="str">
        <f>+'Plan estratégico 2021-2024'!AH11</f>
        <v>Profesional de apoyo de Planeación.</v>
      </c>
      <c r="AM12" s="401">
        <f>0.83%/0.83%</f>
        <v>1</v>
      </c>
      <c r="AN12" s="401">
        <f>3.65%/4.11%</f>
        <v>0.88807785888077839</v>
      </c>
      <c r="AO12" s="401">
        <f>12.58%/13.16%</f>
        <v>0.95592705167173253</v>
      </c>
      <c r="AP12" s="401">
        <f>28.57/29.35</f>
        <v>0.97342419080068143</v>
      </c>
      <c r="AQ12" s="401">
        <f>38.44/40.6</f>
        <v>0.94679802955665016</v>
      </c>
      <c r="AR12" s="401">
        <f>53.76/54.61</f>
        <v>0.98443508514924005</v>
      </c>
      <c r="AS12" s="401">
        <f>64.16/63.06</f>
        <v>1.0174437044084998</v>
      </c>
      <c r="AT12" s="401">
        <f>74.44/74.95</f>
        <v>0.99319546364242817</v>
      </c>
      <c r="AU12" s="401">
        <f>82.13/85.05</f>
        <v>0.96566725455614344</v>
      </c>
      <c r="AV12" s="401"/>
      <c r="AW12" s="401"/>
      <c r="AX12" s="401"/>
      <c r="AY12" s="307" t="str">
        <f t="shared" si="1"/>
        <v>5.2.1</v>
      </c>
      <c r="AZ12" s="519" t="s">
        <v>967</v>
      </c>
      <c r="BA12" s="519" t="s">
        <v>1231</v>
      </c>
      <c r="BB12" s="536" t="s">
        <v>1306</v>
      </c>
      <c r="BC12" s="411" t="s">
        <v>1006</v>
      </c>
      <c r="BD12" s="437"/>
      <c r="BE12" s="505"/>
      <c r="BF12" s="505"/>
      <c r="BG12" s="505"/>
      <c r="BH12" s="505"/>
    </row>
    <row r="13" spans="1:60" ht="148.5" customHeight="1" x14ac:dyDescent="0.2">
      <c r="A13" s="307" t="str">
        <f>+'Plan estratégico 2021-2024'!I12</f>
        <v>5.2.2</v>
      </c>
      <c r="B13" s="523" t="str">
        <f>+'Plan estratégico 2021-2024'!A11</f>
        <v>16. Paz, justicia e instituciones sólidas.</v>
      </c>
      <c r="C13" s="523" t="str">
        <f>+'Plan estratégico 2021-2024'!B11</f>
        <v>Propósito 5 
Logro de ciudad: 30</v>
      </c>
      <c r="D13" s="523" t="str">
        <f>+'Plan estratégico 2021-2024'!C11</f>
        <v>Planeación estratégica.
Seguimiento y evaluación del desempeño institucional</v>
      </c>
      <c r="E13" s="523" t="str">
        <f>+'Plan estratégico 2021-2024'!D11</f>
        <v>05 - Fortalecer la capacidad organizacional de Capital para ser una empresa transparente, eficiente y sostenible.</v>
      </c>
      <c r="F13" s="523" t="str">
        <f>+'Plan estratégico 2021-2024'!E11</f>
        <v>5.2. Fortalecimiento de la cultura de la planeación</v>
      </c>
      <c r="G13" s="523" t="str">
        <f>+'Plan estratégico 2021-2024'!F12</f>
        <v>Lograr niveles de cumplimiento superiores al 90% en la rendición de informes e iniciativas de planeación.</v>
      </c>
      <c r="H13" s="523" t="str">
        <f>+'Plan estratégico 2021-2024'!G12</f>
        <v>Promedio de cumplimiento en la rendición de informes e iniciativas de planeación, para las vigencias de medición.</v>
      </c>
      <c r="I13" s="523" t="str">
        <f>+'Plan estratégico 2021-2024'!H12</f>
        <v>2 Eficiencia: (uso de los recursos)</v>
      </c>
      <c r="J13" s="520" t="str">
        <f>+'Plan estratégico 2021-2024'!I12</f>
        <v>5.2.2</v>
      </c>
      <c r="K13" s="520" t="str">
        <f>+'Plan estratégico 2021-2024'!J12</f>
        <v>Implementación y seguimiento al cronograma anual de planeación.</v>
      </c>
      <c r="L13" s="520" t="str">
        <f t="shared" si="0"/>
        <v>5.2.2 Implementación y seguimiento al cronograma anual de planeación.</v>
      </c>
      <c r="M13" s="520" t="str">
        <f>+'Plan estratégico 2021-2024'!K12</f>
        <v>Establecer los criterios en materia de seguimientos que deben ser reportados a planeación por parte los diferentes responsables de las  temáticas de gestión establecidas.</v>
      </c>
      <c r="N13" s="520" t="str">
        <f>+'Plan estratégico 2021-2024'!L12</f>
        <v xml:space="preserve">Balance del cumplimiento al reporte de acciones respecto a lo establecido en el cronograma anual de planeación </v>
      </c>
      <c r="O13" s="520" t="str">
        <f>+'Plan estratégico 2021-2024'!M12</f>
        <v xml:space="preserve">Porcentaje del cumplimiento oportuno del cronograma de informes </v>
      </c>
      <c r="P13" s="520" t="str">
        <f>+'Plan estratégico 2021-2024'!N12</f>
        <v>2 Eficiencia: (uso de los recursos)</v>
      </c>
      <c r="Q13" s="520" t="str">
        <f>+'Plan estratégico 2021-2024'!O12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518" t="str">
        <f>+'Plan estratégico 2021-2024'!P12</f>
        <v>Número de informes y/o reportes ejecutados oportunamente / Número total de informes y/o reportes programados para el periodo</v>
      </c>
      <c r="S13" s="520" t="s">
        <v>872</v>
      </c>
      <c r="T13" s="520" t="s">
        <v>870</v>
      </c>
      <c r="U13" s="520" t="str">
        <f>+'Plan estratégico 2021-2024'!Q12</f>
        <v>Porcentaje (%).</v>
      </c>
      <c r="V13" s="520" t="str">
        <f>+'Plan estratégico 2021-2024'!R12</f>
        <v>No aplica.</v>
      </c>
      <c r="W13" s="446">
        <f>+'Plan estratégico 2021-2024'!S12</f>
        <v>0.9</v>
      </c>
      <c r="X13" s="395">
        <f>+'Plan estratégico 2021-2024'!T12</f>
        <v>0.9</v>
      </c>
      <c r="Y13" s="395">
        <f>+'Plan estratégico 2021-2024'!U12</f>
        <v>0.9</v>
      </c>
      <c r="Z13" s="395">
        <f>+'Plan estratégico 2021-2024'!V12</f>
        <v>0.9</v>
      </c>
      <c r="AA13" s="520" t="str">
        <f>+'Plan estratégico 2021-2024'!W12</f>
        <v>-</v>
      </c>
      <c r="AB13" s="520" t="str">
        <f>+'Plan estratégico 2021-2024'!X12</f>
        <v>-</v>
      </c>
      <c r="AC13" s="520" t="str">
        <f>+'Plan estratégico 2021-2024'!Y12</f>
        <v>-</v>
      </c>
      <c r="AD13" s="520" t="str">
        <f>+'Plan estratégico 2021-2024'!Z12</f>
        <v>-</v>
      </c>
      <c r="AE13" s="520" t="str">
        <f>+'Plan estratégico 2021-2024'!AA12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520" t="str">
        <f>+'Plan estratégico 2021-2024'!AB12</f>
        <v>Cumplimiento de las actividades de gestión, según su ponderación.</v>
      </c>
      <c r="AG13" s="520" t="str">
        <f>+'Plan estratégico 2021-2024'!AC12</f>
        <v>2 Eficiencia: (uso de los recursos)</v>
      </c>
      <c r="AH13" s="520" t="str">
        <f>+'Plan estratégico 2021-2024'!AD12</f>
        <v>Porcentaje (%)</v>
      </c>
      <c r="AI13" s="520" t="str">
        <f>+'Plan estratégico 2021-2024'!AE12</f>
        <v>Trimestral.</v>
      </c>
      <c r="AJ13" s="520" t="str">
        <f>+'Plan estratégico 2021-2024'!AF12</f>
        <v>No aplica.</v>
      </c>
      <c r="AK13" s="520" t="str">
        <f>+'Plan estratégico 2021-2024'!AG12</f>
        <v>Asesora de planeación.</v>
      </c>
      <c r="AL13" s="520" t="str">
        <f>+'Plan estratégico 2021-2024'!AH12</f>
        <v>Profesional de apoyo de Planeación.</v>
      </c>
      <c r="AM13" s="707">
        <f>37/39</f>
        <v>0.94871794871794868</v>
      </c>
      <c r="AN13" s="707"/>
      <c r="AO13" s="707"/>
      <c r="AP13" s="707">
        <f>24/26</f>
        <v>0.92307692307692313</v>
      </c>
      <c r="AQ13" s="707"/>
      <c r="AR13" s="707"/>
      <c r="AS13" s="707">
        <f>35/35</f>
        <v>1</v>
      </c>
      <c r="AT13" s="707"/>
      <c r="AU13" s="707"/>
      <c r="AV13" s="707"/>
      <c r="AW13" s="707"/>
      <c r="AX13" s="707"/>
      <c r="AY13" s="307" t="str">
        <f t="shared" si="1"/>
        <v>5.2.2</v>
      </c>
      <c r="AZ13" s="519" t="s">
        <v>971</v>
      </c>
      <c r="BA13" s="519" t="s">
        <v>1204</v>
      </c>
      <c r="BB13" s="536" t="s">
        <v>1307</v>
      </c>
      <c r="BC13" s="411" t="s">
        <v>1006</v>
      </c>
      <c r="BD13" s="437"/>
      <c r="BE13" s="404"/>
      <c r="BF13" s="404"/>
      <c r="BG13" s="404"/>
      <c r="BH13" s="436"/>
    </row>
    <row r="14" spans="1:60" ht="147.75" customHeight="1" x14ac:dyDescent="0.2">
      <c r="A14" s="307" t="str">
        <f>+'Plan estratégico 2021-2024'!I13</f>
        <v>5.2.3</v>
      </c>
      <c r="B14" s="523" t="str">
        <f>+'Plan estratégico 2021-2024'!A11</f>
        <v>16. Paz, justicia e instituciones sólidas.</v>
      </c>
      <c r="C14" s="523" t="str">
        <f>+'Plan estratégico 2021-2024'!B11</f>
        <v>Propósito 5 
Logro de ciudad: 30</v>
      </c>
      <c r="D14" s="523" t="str">
        <f>+'Plan estratégico 2021-2024'!C11</f>
        <v>Planeación estratégica.
Seguimiento y evaluación del desempeño institucional</v>
      </c>
      <c r="E14" s="523" t="str">
        <f>+'Plan estratégico 2021-2024'!D11</f>
        <v>05 - Fortalecer la capacidad organizacional de Capital para ser una empresa transparente, eficiente y sostenible.</v>
      </c>
      <c r="F14" s="523" t="str">
        <f>+'Plan estratégico 2021-2024'!E11</f>
        <v>5.2. Fortalecimiento de la cultura de la planeación</v>
      </c>
      <c r="G14" s="523" t="str">
        <f>+'Plan estratégico 2021-2024'!F13</f>
        <v>Lograr niveles de cumplimiento superiores al 90% en la planeación presupuestal a través del Plan Anual de Adquisiciones.</v>
      </c>
      <c r="H14" s="523" t="str">
        <f>+'Plan estratégico 2021-2024'!G13</f>
        <v>Promedio de ejecución presupuestal de las áreas medido a través del Plan Anual de Adquisiciones - PAA.</v>
      </c>
      <c r="I14" s="523" t="str">
        <f>+'Plan estratégico 2021-2024'!H13</f>
        <v>2 Eficiencia: (uso de los recursos)</v>
      </c>
      <c r="J14" s="520" t="str">
        <f>+'Plan estratégico 2021-2024'!I13</f>
        <v>5.2.3</v>
      </c>
      <c r="K14" s="520" t="str">
        <f>+'Plan estratégico 2021-2024'!J13</f>
        <v>Seguimiento a la ejecución de recursos del Plan Anual de Adquisiciones - PAA.</v>
      </c>
      <c r="L14" s="520" t="str">
        <f t="shared" si="0"/>
        <v>5.2.3 Seguimiento a la ejecución de recursos del Plan Anual de Adquisiciones - PAA.</v>
      </c>
      <c r="M14" s="518" t="str">
        <f>+'Plan estratégico 2021-2024'!K13</f>
        <v>Medir el nivel de cumplimiento en la ejecución de los recursos sobre las adquisiciones planeadas para la vigencia</v>
      </c>
      <c r="N14" s="520" t="str">
        <f>+'Plan estratégico 2021-2024'!L13</f>
        <v xml:space="preserve">Plan Anual de Adquisiciones actualizado en SECOP II. </v>
      </c>
      <c r="O14" s="520" t="str">
        <f>+'Plan estratégico 2021-2024'!M13</f>
        <v xml:space="preserve">Porcentaje de cumplimiento del Plan Anual de Adquisiciones </v>
      </c>
      <c r="P14" s="520" t="str">
        <f>+'Plan estratégico 2021-2024'!N13</f>
        <v>2 Eficiencia: (uso de los recursos)</v>
      </c>
      <c r="Q14" s="518" t="str">
        <f>+'Plan estratégico 2021-2024'!O13</f>
        <v>El Plan Anual de Adquisiciones - PAA es la herramienta de planeación institucional a través de la cual se identifican y proyectan las necesidades de productos y servicios requeridos para la correcta operación de la entidad a lo largo de la vigencia y facilita su seguimiento a lo largo del año en términos de verificar el nivel de cumplimiento en la ejecución del presupuesto asignado. 
Con este indicador se pretende establecer el nivel de cumplimiento del PAA respecto a la programación que establece cada área, en su construcción y modificaciones.</v>
      </c>
      <c r="R14" s="520" t="str">
        <f>+'Plan estratégico 2021-2024'!P13</f>
        <v>(Recursos ejecutados del Plan Anual de Adquisiciones - PAA de la vigencia 2021 / Total de recursos programados en el Plan Anual de Adquisiciones - PAA para la vigencia 2021)*100%.</v>
      </c>
      <c r="S14" s="520" t="s">
        <v>963</v>
      </c>
      <c r="T14" s="520" t="s">
        <v>964</v>
      </c>
      <c r="U14" s="520" t="str">
        <f>+'Plan estratégico 2021-2024'!Q13</f>
        <v>Porcentaje (%).</v>
      </c>
      <c r="V14" s="520" t="str">
        <f>+'Plan estratégico 2021-2024'!R13</f>
        <v>No aplica.</v>
      </c>
      <c r="W14" s="446">
        <f>+'Plan estratégico 2021-2024'!S13</f>
        <v>1</v>
      </c>
      <c r="X14" s="394">
        <f>+'Plan estratégico 2021-2024'!T13</f>
        <v>1</v>
      </c>
      <c r="Y14" s="394">
        <f>+'Plan estratégico 2021-2024'!U13</f>
        <v>1</v>
      </c>
      <c r="Z14" s="394">
        <f>+'Plan estratégico 2021-2024'!V13</f>
        <v>1</v>
      </c>
      <c r="AA14" s="520" t="str">
        <f>+'Plan estratégico 2021-2024'!W13</f>
        <v>-</v>
      </c>
      <c r="AB14" s="520" t="str">
        <f>+'Plan estratégico 2021-2024'!X13</f>
        <v>-</v>
      </c>
      <c r="AC14" s="520" t="str">
        <f>+'Plan estratégico 2021-2024'!Y13</f>
        <v>-</v>
      </c>
      <c r="AD14" s="520" t="str">
        <f>+'Plan estratégico 2021-2024'!Z13</f>
        <v>-</v>
      </c>
      <c r="AE14" s="520" t="str">
        <f>+'Plan estratégico 2021-2024'!AA13</f>
        <v>1. Elaboración del PAA de acuerdo con el anteproyecto de presupuesto para la siguiente vigencia (40%). 
2. Actualizar el PAA de acuerdo con los reportes del BOGDATA (40%)
3. Actualizaciones del PAA según solicitudes generadas por la diferentes áreas (20%).</v>
      </c>
      <c r="AF14" s="520" t="str">
        <f>+'Plan estratégico 2021-2024'!AB13</f>
        <v>Cumplimiento de las actividades de gestión, según su ponderación.</v>
      </c>
      <c r="AG14" s="520" t="str">
        <f>+'Plan estratégico 2021-2024'!AC13</f>
        <v>2 Eficiencia: (uso de los recursos)</v>
      </c>
      <c r="AH14" s="520" t="str">
        <f>+'Plan estratégico 2021-2024'!AD13</f>
        <v>Porcentaje (%)</v>
      </c>
      <c r="AI14" s="520" t="str">
        <f>+'Plan estratégico 2021-2024'!AE13</f>
        <v>Trimestral.</v>
      </c>
      <c r="AJ14" s="520" t="str">
        <f>+'Plan estratégico 2021-2024'!AF13</f>
        <v>No aplica.</v>
      </c>
      <c r="AK14" s="520" t="str">
        <f>+'Plan estratégico 2021-2024'!AG13</f>
        <v>Asesora de planeación.</v>
      </c>
      <c r="AL14" s="520" t="str">
        <f>+'Plan estratégico 2021-2024'!AH13</f>
        <v>Profesional de Planeación.</v>
      </c>
      <c r="AM14" s="707">
        <f>12561352703/25946681772</f>
        <v>0.48412173908709238</v>
      </c>
      <c r="AN14" s="707"/>
      <c r="AO14" s="707"/>
      <c r="AP14" s="707">
        <f>18580573103/29448432748</f>
        <v>0.63095286808639772</v>
      </c>
      <c r="AQ14" s="707"/>
      <c r="AR14" s="707"/>
      <c r="AS14" s="707">
        <f>25152006476/30419446143</f>
        <v>0.82683972475244683</v>
      </c>
      <c r="AT14" s="707"/>
      <c r="AU14" s="707"/>
      <c r="AV14" s="707"/>
      <c r="AW14" s="707"/>
      <c r="AX14" s="707"/>
      <c r="AY14" s="307" t="str">
        <f t="shared" si="1"/>
        <v>5.2.3</v>
      </c>
      <c r="AZ14" s="519" t="s">
        <v>1232</v>
      </c>
      <c r="BA14" s="519" t="s">
        <v>1205</v>
      </c>
      <c r="BB14" s="536" t="s">
        <v>1308</v>
      </c>
      <c r="BC14" s="411" t="s">
        <v>1005</v>
      </c>
      <c r="BD14" s="437"/>
      <c r="BE14" s="404" t="s">
        <v>1018</v>
      </c>
      <c r="BF14" s="404" t="s">
        <v>1019</v>
      </c>
      <c r="BG14" s="404" t="s">
        <v>1017</v>
      </c>
      <c r="BH14" s="436" t="s">
        <v>1023</v>
      </c>
    </row>
    <row r="15" spans="1:60" ht="187.5" customHeight="1" x14ac:dyDescent="0.2">
      <c r="A15" s="307" t="str">
        <f>+'Plan estratégico 2021-2024'!I14</f>
        <v>2.1.1</v>
      </c>
      <c r="B15" s="523" t="str">
        <f>+'Plan estratégico 2021-2024'!A14</f>
        <v>5. Igualdad de Género.
10. Reducción de las desigualdades.
11. Ciudades y comunidades sostenibles.
17. Alianzas para lograr los objetivos.</v>
      </c>
      <c r="C15" s="523" t="str">
        <f>+'Plan estratégico 2021-2024'!B14</f>
        <v>Propósito 1
Logro de ciudad: 3 - 9 - 10
Propósito 3
Logro de ciudad: 22 - 23
Propósito 5
Logro de ciudad: 30</v>
      </c>
      <c r="D15" s="523" t="str">
        <f>+'Plan estratégico 2021-2024'!C14</f>
        <v>Participación ciudadana en la gestión pública.</v>
      </c>
      <c r="E15" s="523" t="str">
        <f>+'Plan estratégico 2021-2024'!D14</f>
        <v>01 - Consolidar una oferta de contenidos de interés ciudadano en diferentes formatos y plataformas que promuevan la participación de la ciudadanía.</v>
      </c>
      <c r="F15" s="523" t="str">
        <f>+'Plan estratégico 2021-2024'!E14</f>
        <v>2.1. Gestión integral de compromisos de Capital en las distintas políticas públicas poblacionales del distrito capital.</v>
      </c>
      <c r="G15" s="523" t="str">
        <f>+'Plan estratégico 2021-2024'!F14</f>
        <v>Atender el 100% de los compromisos y requerimientos derivados de las políticas públicas poblaciones (PPP).</v>
      </c>
      <c r="H15" s="523" t="str">
        <f>+'Plan estratégico 2021-2024'!G14</f>
        <v>Numero de compromisos atendidos.</v>
      </c>
      <c r="I15" s="523" t="str">
        <f>+'Plan estratégico 2021-2024'!H14</f>
        <v>3 Efectividad (impacto o beneficios generados)</v>
      </c>
      <c r="J15" s="520" t="str">
        <f>+'Plan estratégico 2021-2024'!I14</f>
        <v>2.1.1</v>
      </c>
      <c r="K15" s="520" t="str">
        <f>+'Plan estratégico 2021-2024'!J14</f>
        <v>Gestión de los compromisos derivados de las Políticas públicas poblacionales, grupos étnicos  y grupos poblacionales</v>
      </c>
      <c r="L15" s="520" t="str">
        <f t="shared" si="0"/>
        <v>2.1.1 Gestión de los compromisos derivados de las Políticas públicas poblacionales, grupos étnicos  y grupos poblacionales</v>
      </c>
      <c r="M15" s="520" t="str">
        <f>+'Plan estratégico 2021-2024'!K14</f>
        <v>Atender los compromisos adquiridos en el marco de las PPP en las cuales incide Capital.</v>
      </c>
      <c r="N15" s="520" t="str">
        <f>+'Plan estratégico 2021-2024'!L14</f>
        <v>Matriz de consolidación de emisiones y reportes a grupos étnicos / grupos poblacionales.</v>
      </c>
      <c r="O15" s="520" t="str">
        <f>+'Plan estratégico 2021-2024'!M14</f>
        <v>Porcentaje de cumplimiento a los compromisos gestionados por Capital.</v>
      </c>
      <c r="P15" s="520" t="str">
        <f>+'Plan estratégico 2021-2024'!N14</f>
        <v>2 Eficiencia: (uso de los recursos)</v>
      </c>
      <c r="Q15" s="520" t="str">
        <f>+'Plan estratégico 2021-2024'!O14</f>
        <v>Se pretende establecer el nivel de cumplimiento de los compromisos que Capital ha adquirido en materia de las Políticas Públicas Poblacionales en las cuales tiene incidencia.</v>
      </c>
      <c r="R15" s="520" t="str">
        <f>+'Plan estratégico 2021-2024'!P14</f>
        <v>Número de compromisos gestionados / Total de compromisos adquiridos</v>
      </c>
      <c r="S15" s="520" t="s">
        <v>875</v>
      </c>
      <c r="T15" s="520" t="s">
        <v>873</v>
      </c>
      <c r="U15" s="520" t="str">
        <f>+'Plan estratégico 2021-2024'!Q14</f>
        <v>Porcentaje (%).</v>
      </c>
      <c r="V15" s="518" t="str">
        <f>+'Plan estratégico 2021-2024'!R14</f>
        <v>No aplica.</v>
      </c>
      <c r="W15" s="446">
        <f>+'Plan estratégico 2021-2024'!S14</f>
        <v>1</v>
      </c>
      <c r="X15" s="394">
        <f>+'Plan estratégico 2021-2024'!T14</f>
        <v>1</v>
      </c>
      <c r="Y15" s="394">
        <f>+'Plan estratégico 2021-2024'!U14</f>
        <v>1</v>
      </c>
      <c r="Z15" s="394">
        <f>+'Plan estratégico 2021-2024'!V14</f>
        <v>1</v>
      </c>
      <c r="AA15" s="520" t="str">
        <f>+'Plan estratégico 2021-2024'!W14</f>
        <v>-</v>
      </c>
      <c r="AB15" s="520" t="str">
        <f>+'Plan estratégico 2021-2024'!X14</f>
        <v>-</v>
      </c>
      <c r="AC15" s="520" t="str">
        <f>+'Plan estratégico 2021-2024'!Y14</f>
        <v>-</v>
      </c>
      <c r="AD15" s="520" t="str">
        <f>+'Plan estratégico 2021-2024'!Z14</f>
        <v>-</v>
      </c>
      <c r="AE15" s="520" t="str">
        <f>+'Plan estratégico 2021-2024'!AA14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520" t="str">
        <f>+'Plan estratégico 2021-2024'!AB14</f>
        <v>Cumplimiento de las actividades de gestión, según su ponderación.</v>
      </c>
      <c r="AG15" s="520" t="str">
        <f>+'Plan estratégico 2021-2024'!AC14</f>
        <v>2 Eficiencia: (uso de los recursos)</v>
      </c>
      <c r="AH15" s="520" t="str">
        <f>+'Plan estratégico 2021-2024'!AD14</f>
        <v>Porcentaje (%)</v>
      </c>
      <c r="AI15" s="520" t="str">
        <f>+'Plan estratégico 2021-2024'!AE14</f>
        <v>Trimestral.</v>
      </c>
      <c r="AJ15" s="520" t="str">
        <f>+'Plan estratégico 2021-2024'!AF14</f>
        <v>No aplica.</v>
      </c>
      <c r="AK15" s="520" t="str">
        <f>+'Plan estratégico 2021-2024'!AG14</f>
        <v>Asesora de planeación.</v>
      </c>
      <c r="AL15" s="520" t="str">
        <f>+'Plan estratégico 2021-2024'!AH14</f>
        <v>Profesional de apoyo de Planeación.</v>
      </c>
      <c r="AM15" s="704">
        <f>11/11</f>
        <v>1</v>
      </c>
      <c r="AN15" s="704"/>
      <c r="AO15" s="704"/>
      <c r="AP15" s="704">
        <f>11/11</f>
        <v>1</v>
      </c>
      <c r="AQ15" s="704"/>
      <c r="AR15" s="704"/>
      <c r="AS15" s="704">
        <f>11/11</f>
        <v>1</v>
      </c>
      <c r="AT15" s="704"/>
      <c r="AU15" s="704"/>
      <c r="AV15" s="704"/>
      <c r="AW15" s="704"/>
      <c r="AX15" s="704"/>
      <c r="AY15" s="307" t="str">
        <f t="shared" si="1"/>
        <v>2.1.1</v>
      </c>
      <c r="AZ15" s="544" t="s">
        <v>1233</v>
      </c>
      <c r="BA15" s="544" t="s">
        <v>1206</v>
      </c>
      <c r="BB15" s="544" t="s">
        <v>1309</v>
      </c>
      <c r="BC15" s="411" t="s">
        <v>1006</v>
      </c>
      <c r="BD15" s="437"/>
      <c r="BE15" s="404"/>
      <c r="BF15" s="404"/>
      <c r="BG15" s="404"/>
      <c r="BH15" s="436"/>
    </row>
    <row r="16" spans="1:60" ht="104.25" customHeight="1" x14ac:dyDescent="0.2">
      <c r="A16" s="307" t="str">
        <f>+'Plan estratégico 2021-2024'!I15</f>
        <v>1.1.1</v>
      </c>
      <c r="B16" s="523" t="str">
        <f>+'Plan estratégico 2021-2024'!A15</f>
        <v>11. Ciudades y comunidades sostenibles.
17. Alianzas para lograr los objetivos.</v>
      </c>
      <c r="C16" s="523" t="str">
        <f>+'Plan estratégico 2021-2024'!B15</f>
        <v>Propósito 5
Logro de ciudad: 27 - 30</v>
      </c>
      <c r="D16" s="523" t="str">
        <f>+'Plan estratégico 2021-2024'!C15</f>
        <v>Transparencia, acceso a la información y lucha contra la corrupción.</v>
      </c>
      <c r="E16" s="523" t="str">
        <f>+'Plan estratégico 2021-2024'!D15</f>
        <v>02 - Implementar prácticas de innovación en diseño, gestión, producción y circulación de contenidos para el posicionamiento del Sistema de Comunicación Pública en la Bogotá Región y la generación de múltiples audiencias ciudadanas.</v>
      </c>
      <c r="F16" s="523" t="str">
        <f>+'Plan estratégico 2021-2024'!E15</f>
        <v>1.1. Desarrollo de estrategias de comunicación externa sobre acciones realizadas por Capital y con entidades del orden Distrital, Regional y Nacional con énfasis en enfoque cultural.</v>
      </c>
      <c r="G16" s="523" t="str">
        <f>+'Plan estratégico 2021-2024'!F15</f>
        <v>Desarrollar 4 tácticas de impulso al posicionamiento de Capital en entidades públicas, privadas y ONG´s, para cada vigencia.</v>
      </c>
      <c r="H16" s="523" t="str">
        <f>+'Plan estratégico 2021-2024'!G15</f>
        <v>Número de tácticas desarrolladas / Número de tácticas planeadas.</v>
      </c>
      <c r="I16" s="523" t="str">
        <f>+'Plan estratégico 2021-2024'!H15</f>
        <v>3 Efectividad (impacto o beneficios generados)</v>
      </c>
      <c r="J16" s="520" t="str">
        <f>+'Plan estratégico 2021-2024'!I15</f>
        <v>1.1.1</v>
      </c>
      <c r="K16" s="520" t="str">
        <f>+'Plan estratégico 2021-2024'!J15</f>
        <v>Posicionamiento de Capital con entidades públicas, privadas y ONG´s en enfoque cultural.</v>
      </c>
      <c r="L16" s="520" t="str">
        <f t="shared" si="0"/>
        <v>1.1.1 Posicionamiento de Capital con entidades públicas, privadas y ONG´s en enfoque cultural.</v>
      </c>
      <c r="M16" s="520" t="str">
        <f>+'Plan estratégico 2021-2024'!K15</f>
        <v>Crear trabajo conjunto con las entidades del Distrito y los canales regionales</v>
      </c>
      <c r="N16" s="520" t="str">
        <f>+'Plan estratégico 2021-2024'!L15</f>
        <v>Informes semestrales del trabajo conjunto con las diferentes entidades.</v>
      </c>
      <c r="O16" s="520" t="str">
        <f>+'Plan estratégico 2021-2024'!M15</f>
        <v>Informes semestrales de posicionamiento de capital  en entidades públicas, privadas y ONG´s en enfoque cultural.</v>
      </c>
      <c r="P16" s="520" t="str">
        <f>+'Plan estratégico 2021-2024'!N15</f>
        <v>2 Eficiencia: (uso de los recursos)</v>
      </c>
      <c r="Q16" s="520" t="str">
        <f>+'Plan estratégico 2021-2024'!O15</f>
        <v>La medición para el producto propuesto consiste en la elaboración de un documento que reúna las actividades realizadas con insumos. (piezas, imágenes, links).</v>
      </c>
      <c r="R16" s="520" t="str">
        <f>+'Plan estratégico 2021-2024'!P15</f>
        <v>Informes elaborados, que den cuenta de las actividades adelantadas / número de informes planeados.</v>
      </c>
      <c r="S16" s="519" t="s">
        <v>876</v>
      </c>
      <c r="T16" s="519" t="s">
        <v>877</v>
      </c>
      <c r="U16" s="520" t="str">
        <f>+'Plan estratégico 2021-2024'!Q15</f>
        <v>Número (#).</v>
      </c>
      <c r="V16" s="520">
        <f>+'Plan estratégico 2021-2024'!R15</f>
        <v>1</v>
      </c>
      <c r="W16" s="307">
        <f>+'Plan estratégico 2021-2024'!S15</f>
        <v>2</v>
      </c>
      <c r="X16" s="520">
        <f>+'Plan estratégico 2021-2024'!T15</f>
        <v>2</v>
      </c>
      <c r="Y16" s="520">
        <f>+'Plan estratégico 2021-2024'!U15</f>
        <v>2</v>
      </c>
      <c r="Z16" s="520">
        <f>+'Plan estratégico 2021-2024'!V15</f>
        <v>2</v>
      </c>
      <c r="AA16" s="395">
        <f>+'Plan estratégico 2021-2024'!W15</f>
        <v>84865200</v>
      </c>
      <c r="AB16" s="395">
        <f>+'Plan estratégico 2021-2024'!X15</f>
        <v>113506000</v>
      </c>
      <c r="AC16" s="395">
        <f>+'Plan estratégico 2021-2024'!Y15</f>
        <v>116911180</v>
      </c>
      <c r="AD16" s="395">
        <f>+'Plan estratégico 2021-2024'!Z15</f>
        <v>120418515.40000001</v>
      </c>
      <c r="AE16" s="520" t="str">
        <f>+'Plan estratégico 2021-2024'!AA15</f>
        <v>1. Participación en canales de información.
2. Levantamiento base de datos entidades distritales y canales regionales.
3. Acompañamiento trabajo conjunto áreas de Capital y entidades objetivo.</v>
      </c>
      <c r="AF16" s="520" t="str">
        <f>+'Plan estratégico 2021-2024'!AB15</f>
        <v>Cumplimiento de las actividades de gestión, según su ponderación.</v>
      </c>
      <c r="AG16" s="520" t="str">
        <f>+'Plan estratégico 2021-2024'!AC15</f>
        <v>2 Eficiencia: (uso de los recursos)</v>
      </c>
      <c r="AH16" s="520" t="str">
        <f>+'Plan estratégico 2021-2024'!AD15</f>
        <v>Porcentaje (%)</v>
      </c>
      <c r="AI16" s="520" t="str">
        <f>+'Plan estratégico 2021-2024'!AE15</f>
        <v>Trimestral.</v>
      </c>
      <c r="AJ16" s="520" t="str">
        <f>+'Plan estratégico 2021-2024'!AF15</f>
        <v>En los costos definidos para las actividades están relacionados con el valor mensual de los contratistas del equipo de trabajo de comunicaciones que se encargan de la tarea.</v>
      </c>
      <c r="AK16" s="520" t="str">
        <f>+'Plan estratégico 2021-2024'!AG15</f>
        <v>Coordinador de Prensa y Comunicaciones.</v>
      </c>
      <c r="AL16" s="520" t="str">
        <f>+'Plan estratégico 2021-2024'!AH15</f>
        <v>Contratista Prensa y Comunicaciones.</v>
      </c>
      <c r="AM16" s="705">
        <f>0.5/2</f>
        <v>0.25</v>
      </c>
      <c r="AN16" s="706"/>
      <c r="AO16" s="706"/>
      <c r="AP16" s="705">
        <f>3/3</f>
        <v>1</v>
      </c>
      <c r="AQ16" s="706"/>
      <c r="AR16" s="706"/>
      <c r="AS16" s="705">
        <f>3/3</f>
        <v>1</v>
      </c>
      <c r="AT16" s="706"/>
      <c r="AU16" s="706"/>
      <c r="AV16" s="705"/>
      <c r="AW16" s="706"/>
      <c r="AX16" s="706"/>
      <c r="AY16" s="307" t="str">
        <f t="shared" si="1"/>
        <v>1.1.1</v>
      </c>
      <c r="AZ16" s="519" t="s">
        <v>1234</v>
      </c>
      <c r="BA16" s="519" t="s">
        <v>1235</v>
      </c>
      <c r="BB16" s="536" t="s">
        <v>1310</v>
      </c>
      <c r="BC16" s="411" t="s">
        <v>1006</v>
      </c>
      <c r="BE16" s="436"/>
      <c r="BF16" s="436"/>
      <c r="BG16" s="436"/>
      <c r="BH16" s="436"/>
    </row>
    <row r="17" spans="1:60" ht="182.25" customHeight="1" x14ac:dyDescent="0.2">
      <c r="A17" s="307" t="str">
        <f>+'Plan estratégico 2021-2024'!I16</f>
        <v>1.1.2</v>
      </c>
      <c r="B17" s="523" t="str">
        <f>+'Plan estratégico 2021-2024'!A15</f>
        <v>11. Ciudades y comunidades sostenibles.
17. Alianzas para lograr los objetivos.</v>
      </c>
      <c r="C17" s="523" t="str">
        <f>+'Plan estratégico 2021-2024'!B15</f>
        <v>Propósito 5
Logro de ciudad: 27 - 30</v>
      </c>
      <c r="D17" s="523" t="str">
        <f>+'Plan estratégico 2021-2024'!C15</f>
        <v>Transparencia, acceso a la información y lucha contra la corrupción.</v>
      </c>
      <c r="E17" s="523" t="str">
        <f>+'Plan estratégico 2021-2024'!D15</f>
        <v>02 - Implementar prácticas de innovación en diseño, gestión, producción y circulación de contenidos para el posicionamiento del Sistema de Comunicación Pública en la Bogotá Región y la generación de múltiples audiencias ciudadanas.</v>
      </c>
      <c r="F17" s="523" t="str">
        <f>+'Plan estratégico 2021-2024'!E15</f>
        <v>1.1. Desarrollo de estrategias de comunicación externa sobre acciones realizadas por Capital y con entidades del orden Distrital, Regional y Nacional con énfasis en enfoque cultural.</v>
      </c>
      <c r="G17" s="523" t="str">
        <f>+'Plan estratégico 2021-2024'!F16</f>
        <v>Lograr 1320 publicaciones en medios locales, regionales y nacionales.</v>
      </c>
      <c r="H17" s="523" t="str">
        <f>+'Plan estratégico 2021-2024'!G16</f>
        <v>Número de publicaciones obtenidas / Número de publicaciones planificadas</v>
      </c>
      <c r="I17" s="523" t="str">
        <f>+'Plan estratégico 2021-2024'!H16</f>
        <v>3 Efectividad (impacto o beneficios generados)</v>
      </c>
      <c r="J17" s="520" t="str">
        <f>+'Plan estratégico 2021-2024'!I16</f>
        <v>1.1.2</v>
      </c>
      <c r="K17" s="520" t="str">
        <f>+'Plan estratégico 2021-2024'!J16</f>
        <v>Posicionamiento de Capital con los medios de comunicación, influenciadores y generadores de opinión.</v>
      </c>
      <c r="L17" s="520" t="str">
        <f t="shared" si="0"/>
        <v>1.1.2 Posicionamiento de Capital con los medios de comunicación, influenciadores y generadores de opinión.</v>
      </c>
      <c r="M17" s="520" t="str">
        <f>+'Plan estratégico 2021-2024'!K16</f>
        <v>Generar posicionamiento de Capital a través de la visibilización del contenido de la parrilla de programación, el talento y voceros designados.</v>
      </c>
      <c r="N17" s="520" t="str">
        <f>+'Plan estratégico 2021-2024'!L16</f>
        <v>300 Publicaciones en medios locales, regionales y nacionales.</v>
      </c>
      <c r="O17" s="520" t="str">
        <f>+'Plan estratégico 2021-2024'!M16</f>
        <v>Publicaciones en medios locales, regionales y nacionales.</v>
      </c>
      <c r="P17" s="520" t="str">
        <f>+'Plan estratégico 2021-2024'!N16</f>
        <v>1 Eficacia: (cumplimiento de metas)</v>
      </c>
      <c r="Q17" s="520" t="str">
        <f>+'Plan estratégico 2021-2024'!O16</f>
        <v>Publicaciones logradas por el trabajo de Free Press en los diferentes medios de comunicación.</v>
      </c>
      <c r="R17" s="520" t="str">
        <f>+'Plan estratégico 2021-2024'!P16</f>
        <v>Número de publicaciones alcanzadas / Número de publicaciones proyectadas</v>
      </c>
      <c r="S17" s="520" t="s">
        <v>878</v>
      </c>
      <c r="T17" s="520" t="s">
        <v>874</v>
      </c>
      <c r="U17" s="520" t="str">
        <f>+'Plan estratégico 2021-2024'!Q16</f>
        <v>Número (#).</v>
      </c>
      <c r="V17" s="520" t="str">
        <f>+'Plan estratégico 2021-2024'!R16</f>
        <v>No aplica.</v>
      </c>
      <c r="W17" s="307">
        <f>+'Plan estratégico 2021-2024'!S16</f>
        <v>300</v>
      </c>
      <c r="X17" s="520">
        <f>+'Plan estratégico 2021-2024'!T16</f>
        <v>320</v>
      </c>
      <c r="Y17" s="520">
        <f>+'Plan estratégico 2021-2024'!U16</f>
        <v>340</v>
      </c>
      <c r="Z17" s="520">
        <f>+'Plan estratégico 2021-2024'!V16</f>
        <v>360</v>
      </c>
      <c r="AA17" s="395">
        <f>+'Plan estratégico 2021-2024'!W16</f>
        <v>110200000</v>
      </c>
      <c r="AB17" s="395">
        <f>+'Plan estratégico 2021-2024'!X16</f>
        <v>113506000</v>
      </c>
      <c r="AC17" s="395">
        <f>+'Plan estratégico 2021-2024'!Y16</f>
        <v>116911180</v>
      </c>
      <c r="AD17" s="395">
        <f>+'Plan estratégico 2021-2024'!Z16</f>
        <v>120418515.40000001</v>
      </c>
      <c r="AE17" s="520" t="str">
        <f>+'Plan estratégico 2021-2024'!AA16</f>
        <v>1. Recopilación de información. 
2. Redacción de artículos / boletines.
3. Aprobación del producto.
4. Envío a medios.
5. Seguimiento. 
6. Materialización de la publicación y/o entrevista.
7. Elaboración informe de gestión.</v>
      </c>
      <c r="AF17" s="520" t="str">
        <f>+'Plan estratégico 2021-2024'!AB16</f>
        <v>Cumplimiento de las actividades de gestión, según su ponderación.</v>
      </c>
      <c r="AG17" s="520" t="str">
        <f>+'Plan estratégico 2021-2024'!AC16</f>
        <v>2 Eficiencia: (uso de los recursos)</v>
      </c>
      <c r="AH17" s="520" t="str">
        <f>+'Plan estratégico 2021-2024'!AD16</f>
        <v>Porcentaje (%)</v>
      </c>
      <c r="AI17" s="520" t="str">
        <f>+'Plan estratégico 2021-2024'!AE16</f>
        <v>Trimestral.</v>
      </c>
      <c r="AJ17" s="520" t="str">
        <f>+'Plan estratégico 2021-2024'!AF16</f>
        <v>En los costos definidos para las actividades están relacionados con el valor mensual de los contratistas del equipo de trabajo de comunicaciones que se encargan de la tarea.</v>
      </c>
      <c r="AK17" s="520" t="str">
        <f>+'Plan estratégico 2021-2024'!AG16</f>
        <v>Coordinador de Prensa y Comunicaciones.</v>
      </c>
      <c r="AL17" s="520" t="str">
        <f>+'Plan estratégico 2021-2024'!AH16</f>
        <v>Contratista Prensa y Comunicaciones.</v>
      </c>
      <c r="AM17" s="707">
        <f>82/300</f>
        <v>0.27333333333333332</v>
      </c>
      <c r="AN17" s="706"/>
      <c r="AO17" s="706"/>
      <c r="AP17" s="707">
        <f>(82+85)/300</f>
        <v>0.55666666666666664</v>
      </c>
      <c r="AQ17" s="706"/>
      <c r="AR17" s="706"/>
      <c r="AS17" s="707">
        <f>(82+85+107)/300</f>
        <v>0.91333333333333333</v>
      </c>
      <c r="AT17" s="706"/>
      <c r="AU17" s="706"/>
      <c r="AV17" s="707"/>
      <c r="AW17" s="706"/>
      <c r="AX17" s="706"/>
      <c r="AY17" s="307" t="str">
        <f t="shared" si="1"/>
        <v>1.1.2</v>
      </c>
      <c r="AZ17" s="519" t="s">
        <v>969</v>
      </c>
      <c r="BA17" s="519" t="s">
        <v>1207</v>
      </c>
      <c r="BB17" s="536" t="s">
        <v>1311</v>
      </c>
      <c r="BC17" s="411" t="s">
        <v>1006</v>
      </c>
      <c r="BE17" s="436" t="s">
        <v>1029</v>
      </c>
      <c r="BF17" s="436" t="s">
        <v>1021</v>
      </c>
      <c r="BG17" s="436" t="s">
        <v>1017</v>
      </c>
      <c r="BH17" s="436" t="s">
        <v>1023</v>
      </c>
    </row>
    <row r="18" spans="1:60" ht="90.75" customHeight="1" x14ac:dyDescent="0.2">
      <c r="A18" s="307" t="str">
        <f>+'Plan estratégico 2021-2024'!I17</f>
        <v>5.3.1</v>
      </c>
      <c r="B18" s="523" t="str">
        <f>+'Plan estratégico 2021-2024'!A17</f>
        <v>11. Ciudades y comunidades sostenibles.
17. Alianzas para lograr los objetivos.</v>
      </c>
      <c r="C18" s="523" t="str">
        <f>+'Plan estratégico 2021-2024'!B17</f>
        <v>Propósito 5
Logro de ciudad: 27 - 30</v>
      </c>
      <c r="D18" s="523" t="str">
        <f>+'Plan estratégico 2021-2024'!C17</f>
        <v>Transparencia, acceso a la información y lucha contra la corrupción.
Fortalecimiento organizacional y simplificación de procesos.</v>
      </c>
      <c r="E18" s="523" t="str">
        <f>+'Plan estratégico 2021-2024'!D17</f>
        <v>05 - Fortalecer la capacidad organizacional de Capital para ser una empresa transparente, eficiente y sostenible.</v>
      </c>
      <c r="F18" s="523" t="str">
        <f>+'Plan estratégico 2021-2024'!E17</f>
        <v>5.3. Acompañamiento a las estrategias de comunicación interna planeadas o definidas por Capital en sus diferentes proyectos.</v>
      </c>
      <c r="G18" s="523" t="str">
        <f>+'Plan estratégico 2021-2024'!F17</f>
        <v>Lograr como mínimo 5 medios de comunicación intervenidos y/o establecidos</v>
      </c>
      <c r="H18" s="523" t="str">
        <f>+'Plan estratégico 2021-2024'!G17</f>
        <v>Medios de comunicación intervenidos y/o establecidos /  Medios de comunicación planeados para intervenir.</v>
      </c>
      <c r="I18" s="523" t="str">
        <f>+'Plan estratégico 2021-2024'!H17</f>
        <v>2 Eficiencia: (uso de los recursos)</v>
      </c>
      <c r="J18" s="520" t="str">
        <f>+'Plan estratégico 2021-2024'!I17</f>
        <v>5.3.1</v>
      </c>
      <c r="K18" s="520" t="str">
        <f>+'Plan estratégico 2021-2024'!J17</f>
        <v>Análisis y fortalecimiento de canales de comunicación, nuevos y existentes.</v>
      </c>
      <c r="L18" s="520" t="str">
        <f t="shared" si="0"/>
        <v>5.3.1 Análisis y fortalecimiento de canales de comunicación, nuevos y existentes.</v>
      </c>
      <c r="M18" s="520" t="str">
        <f>+'Plan estratégico 2021-2024'!K17</f>
        <v>Analizar y potenciar canales de comunicación interna que generen y compartan mensajes integrales y de marca.</v>
      </c>
      <c r="N18" s="520" t="str">
        <f>+'Plan estratégico 2021-2024'!L17</f>
        <v>Informe semestral sobre las acciones realizadas</v>
      </c>
      <c r="O18" s="518" t="str">
        <f>+'Plan estratégico 2021-2024'!M17</f>
        <v>Medios de comunicación interna intervenidos</v>
      </c>
      <c r="P18" s="520" t="str">
        <f>+'Plan estratégico 2021-2024'!N17</f>
        <v>1 Eficacia: (cumplimiento de metas)</v>
      </c>
      <c r="Q18" s="520" t="str">
        <f>+'Plan estratégico 2021-2024'!O17</f>
        <v>Descripción de los medios de comunicación interna intervenidos.</v>
      </c>
      <c r="R18" s="520" t="str">
        <f>+'Plan estratégico 2021-2024'!P17</f>
        <v>Número de medios de comunicación interna intervenidos / número de medios planeados a intervenir</v>
      </c>
      <c r="S18" s="520" t="s">
        <v>879</v>
      </c>
      <c r="T18" s="520" t="s">
        <v>880</v>
      </c>
      <c r="U18" s="520" t="str">
        <f>+'Plan estratégico 2021-2024'!Q17</f>
        <v>Número (#).</v>
      </c>
      <c r="V18" s="520" t="str">
        <f>+'Plan estratégico 2021-2024'!R17</f>
        <v>No aplica.</v>
      </c>
      <c r="W18" s="307">
        <f>+'Plan estratégico 2021-2024'!S17</f>
        <v>2</v>
      </c>
      <c r="X18" s="520">
        <f>+'Plan estratégico 2021-2024'!T17</f>
        <v>1</v>
      </c>
      <c r="Y18" s="520">
        <f>+'Plan estratégico 2021-2024'!U17</f>
        <v>1</v>
      </c>
      <c r="Z18" s="520">
        <f>+'Plan estratégico 2021-2024'!V17</f>
        <v>1</v>
      </c>
      <c r="AA18" s="395">
        <f>+'Plan estratégico 2021-2024'!W17</f>
        <v>84900000</v>
      </c>
      <c r="AB18" s="395">
        <f>+'Plan estratégico 2021-2024'!X17</f>
        <v>87447000</v>
      </c>
      <c r="AC18" s="395">
        <f>+'Plan estratégico 2021-2024'!Y17</f>
        <v>90070410</v>
      </c>
      <c r="AD18" s="395">
        <f>+'Plan estratégico 2021-2024'!Z17</f>
        <v>92772522.299999997</v>
      </c>
      <c r="AE18" s="520" t="str">
        <f>+'Plan estratégico 2021-2024'!AA17</f>
        <v>1. Análisis de medios internos
2. Intervención - mejora
3. Posicionamiento nuevos medios.</v>
      </c>
      <c r="AF18" s="520" t="str">
        <f>+'Plan estratégico 2021-2024'!AB17</f>
        <v>Cumplimiento de las actividades de gestión, según su ponderación.</v>
      </c>
      <c r="AG18" s="520" t="str">
        <f>+'Plan estratégico 2021-2024'!AC17</f>
        <v>2 Eficiencia: (uso de los recursos)</v>
      </c>
      <c r="AH18" s="520" t="str">
        <f>+'Plan estratégico 2021-2024'!AD17</f>
        <v>Porcentaje (%)</v>
      </c>
      <c r="AI18" s="520" t="str">
        <f>+'Plan estratégico 2021-2024'!AE17</f>
        <v>Trimestral.</v>
      </c>
      <c r="AJ18" s="520" t="str">
        <f>+'Plan estratégico 2021-2024'!AF17</f>
        <v>En los costos definidos para las actividades están relacionados con el valor mensual de los contratistas del equipo de trabajo de comunicaciones que se encargan de la tarea.</v>
      </c>
      <c r="AK18" s="520" t="str">
        <f>+'Plan estratégico 2021-2024'!AG17</f>
        <v>Coordinador de Prensa y Comunicaciones.</v>
      </c>
      <c r="AL18" s="520" t="str">
        <f>+'Plan estratégico 2021-2024'!AH17</f>
        <v>Contratista Prensa y Comunicaciones.</v>
      </c>
      <c r="AM18" s="703">
        <f>0/2</f>
        <v>0</v>
      </c>
      <c r="AN18" s="703"/>
      <c r="AO18" s="703"/>
      <c r="AP18" s="703">
        <f>2/2</f>
        <v>1</v>
      </c>
      <c r="AQ18" s="703"/>
      <c r="AR18" s="703"/>
      <c r="AS18" s="703">
        <f>2/2</f>
        <v>1</v>
      </c>
      <c r="AT18" s="703"/>
      <c r="AU18" s="703"/>
      <c r="AV18" s="703"/>
      <c r="AW18" s="703"/>
      <c r="AX18" s="703"/>
      <c r="AY18" s="307" t="str">
        <f t="shared" si="1"/>
        <v>5.3.1</v>
      </c>
      <c r="AZ18" s="519" t="s">
        <v>1236</v>
      </c>
      <c r="BA18" s="519" t="s">
        <v>1208</v>
      </c>
      <c r="BB18" s="536" t="s">
        <v>1312</v>
      </c>
      <c r="BC18" s="411" t="s">
        <v>1006</v>
      </c>
      <c r="BE18" s="436" t="s">
        <v>1030</v>
      </c>
      <c r="BF18" s="404" t="s">
        <v>1027</v>
      </c>
      <c r="BG18" s="404" t="s">
        <v>1028</v>
      </c>
      <c r="BH18" s="404" t="s">
        <v>1022</v>
      </c>
    </row>
    <row r="19" spans="1:60" ht="122.25" customHeight="1" x14ac:dyDescent="0.2">
      <c r="A19" s="307" t="str">
        <f>+'Plan estratégico 2021-2024'!I18</f>
        <v>5.3.2</v>
      </c>
      <c r="B19" s="523" t="str">
        <f>+'Plan estratégico 2021-2024'!A17</f>
        <v>11. Ciudades y comunidades sostenibles.
17. Alianzas para lograr los objetivos.</v>
      </c>
      <c r="C19" s="523" t="str">
        <f>+'Plan estratégico 2021-2024'!B17</f>
        <v>Propósito 5
Logro de ciudad: 27 - 30</v>
      </c>
      <c r="D19" s="523" t="str">
        <f>+'Plan estratégico 2021-2024'!C17</f>
        <v>Transparencia, acceso a la información y lucha contra la corrupción.
Fortalecimiento organizacional y simplificación de procesos.</v>
      </c>
      <c r="E19" s="523" t="str">
        <f>+'Plan estratégico 2021-2024'!D17</f>
        <v>05 - Fortalecer la capacidad organizacional de Capital para ser una empresa transparente, eficiente y sostenible.</v>
      </c>
      <c r="F19" s="523" t="str">
        <f>+'Plan estratégico 2021-2024'!E17</f>
        <v>5.3. Acompañamiento a las estrategias de comunicación interna planeadas o definidas por Capital en sus diferentes proyectos.</v>
      </c>
      <c r="G19" s="523" t="str">
        <f>+'Plan estratégico 2021-2024'!F18</f>
        <v>Lograr el apoyo al 90% de campañas institucionales.</v>
      </c>
      <c r="H19" s="523" t="str">
        <f>+'Plan estratégico 2021-2024'!G18</f>
        <v>Campañas ejecutadas de cada temática / Campañas solicitadas para cada temática</v>
      </c>
      <c r="I19" s="523" t="str">
        <f>+'Plan estratégico 2021-2024'!H18</f>
        <v>1 Eficacia: (cumplimiento de metas)</v>
      </c>
      <c r="J19" s="520" t="str">
        <f>+'Plan estratégico 2021-2024'!I18</f>
        <v>5.3.2</v>
      </c>
      <c r="K19" s="520" t="str">
        <f>+'Plan estratégico 2021-2024'!J18</f>
        <v>Impulsar el sentido de pertenencia por la marca.</v>
      </c>
      <c r="L19" s="520" t="str">
        <f t="shared" si="0"/>
        <v>5.3.2 Impulsar el sentido de pertenencia por la marca.</v>
      </c>
      <c r="M19" s="520" t="str">
        <f>+'Plan estratégico 2021-2024'!K18</f>
        <v>Trabajar con el área de Talento Humano para fortalecer la Cultura Organizacional y fomentar el sentido de pertenencia</v>
      </c>
      <c r="N19" s="520" t="str">
        <f>+'Plan estratégico 2021-2024'!L18</f>
        <v>Informe semestral sobre las acciones realizadas</v>
      </c>
      <c r="O19" s="518" t="str">
        <f>+'Plan estratégico 2021-2024'!M18</f>
        <v>Comunicaciones sobre cultura organizacional y sentido de pertenencia</v>
      </c>
      <c r="P19" s="520" t="str">
        <f>+'Plan estratégico 2021-2024'!N18</f>
        <v>1 Eficacia: (cumplimiento de metas)</v>
      </c>
      <c r="Q19" s="520" t="str">
        <f>+'Plan estratégico 2021-2024'!O18</f>
        <v>Realizar publicaciones, campañas, boletines y/o comunicados que ayuden a fomentar la cultura organizacional y el sentido de pertenencia.</v>
      </c>
      <c r="R19" s="518" t="str">
        <f>+'Plan estratégico 2021-2024'!P18</f>
        <v>Número de comunicaciones gestionadas sobre cultura organizacional y sentido de pertenencia / Número de solicitudes de comunicación recibidas sobre cultura organizacional y sentido de pertenencia</v>
      </c>
      <c r="S19" s="518" t="s">
        <v>1118</v>
      </c>
      <c r="T19" s="518" t="s">
        <v>1119</v>
      </c>
      <c r="U19" s="520" t="str">
        <f>+'Plan estratégico 2021-2024'!Q18</f>
        <v>Porcentaje (%).</v>
      </c>
      <c r="V19" s="520" t="str">
        <f>+'Plan estratégico 2021-2024'!R18</f>
        <v>No aplica.</v>
      </c>
      <c r="W19" s="307">
        <f>+'Plan estratégico 2021-2024'!S18</f>
        <v>1</v>
      </c>
      <c r="X19" s="520">
        <f>+'Plan estratégico 2021-2024'!T18</f>
        <v>1</v>
      </c>
      <c r="Y19" s="520">
        <f>+'Plan estratégico 2021-2024'!U18</f>
        <v>1</v>
      </c>
      <c r="Z19" s="520">
        <f>+'Plan estratégico 2021-2024'!V18</f>
        <v>1</v>
      </c>
      <c r="AA19" s="395">
        <f>+'Plan estratégico 2021-2024'!W18</f>
        <v>11000000</v>
      </c>
      <c r="AB19" s="395">
        <f>+'Plan estratégico 2021-2024'!X18</f>
        <v>11330000</v>
      </c>
      <c r="AC19" s="395">
        <f>+'Plan estratégico 2021-2024'!Y18</f>
        <v>11669900</v>
      </c>
      <c r="AD19" s="395">
        <f>+'Plan estratégico 2021-2024'!Z18</f>
        <v>12019997</v>
      </c>
      <c r="AE19" s="520" t="str">
        <f>+'Plan estratégico 2021-2024'!AA18</f>
        <v>*Definición de acciones con RRHH.
*Recopilación de información
*Realización de piezas gráficas.
*Socialización</v>
      </c>
      <c r="AF19" s="520" t="str">
        <f>+'Plan estratégico 2021-2024'!AB18</f>
        <v>Número de acciones propuestas/Número de acciones realizadas</v>
      </c>
      <c r="AG19" s="520" t="str">
        <f>+'Plan estratégico 2021-2024'!AC18</f>
        <v>2 Eficiencia: (uso de los recursos)</v>
      </c>
      <c r="AH19" s="520" t="str">
        <f>+'Plan estratégico 2021-2024'!AD18</f>
        <v>Porcentaje (%)</v>
      </c>
      <c r="AI19" s="520" t="str">
        <f>+'Plan estratégico 2021-2024'!AE18</f>
        <v>Trimestral.</v>
      </c>
      <c r="AJ19" s="520" t="str">
        <f>+'Plan estratégico 2021-2024'!AF18</f>
        <v>En los costos definidos para las actividades están relacionados con el valor mensual de los contratistas del equipo de trabajo de comunicaciones que se encargan de la tarea.</v>
      </c>
      <c r="AK19" s="520" t="str">
        <f>+'Plan estratégico 2021-2024'!AG18</f>
        <v>Coordinador de Prensa y Comunicaciones.</v>
      </c>
      <c r="AL19" s="520" t="str">
        <f>+'Plan estratégico 2021-2024'!AH18</f>
        <v>Contratista Prensa y Comunicaciones.</v>
      </c>
      <c r="AM19" s="704">
        <f>2/2</f>
        <v>1</v>
      </c>
      <c r="AN19" s="704"/>
      <c r="AO19" s="704"/>
      <c r="AP19" s="704">
        <f>12/12</f>
        <v>1</v>
      </c>
      <c r="AQ19" s="704"/>
      <c r="AR19" s="704"/>
      <c r="AS19" s="704">
        <f>13/13</f>
        <v>1</v>
      </c>
      <c r="AT19" s="704"/>
      <c r="AU19" s="704"/>
      <c r="AV19" s="704"/>
      <c r="AW19" s="704"/>
      <c r="AX19" s="704"/>
      <c r="AY19" s="307" t="str">
        <f t="shared" si="1"/>
        <v>5.3.2</v>
      </c>
      <c r="AZ19" s="519" t="s">
        <v>1237</v>
      </c>
      <c r="BA19" s="519" t="s">
        <v>1238</v>
      </c>
      <c r="BB19" s="536" t="s">
        <v>1313</v>
      </c>
      <c r="BC19" s="411" t="s">
        <v>1006</v>
      </c>
      <c r="BE19" s="436" t="s">
        <v>1029</v>
      </c>
      <c r="BF19" s="404" t="s">
        <v>1031</v>
      </c>
      <c r="BG19" s="404" t="s">
        <v>1032</v>
      </c>
      <c r="BH19" s="436" t="s">
        <v>1023</v>
      </c>
    </row>
    <row r="20" spans="1:60" ht="96" customHeight="1" x14ac:dyDescent="0.2">
      <c r="A20" s="307" t="str">
        <f>+'Plan estratégico 2021-2024'!I19</f>
        <v>5.3.3</v>
      </c>
      <c r="B20" s="523" t="str">
        <f>+'Plan estratégico 2021-2024'!A17</f>
        <v>11. Ciudades y comunidades sostenibles.
17. Alianzas para lograr los objetivos.</v>
      </c>
      <c r="C20" s="523" t="str">
        <f>+'Plan estratégico 2021-2024'!B17</f>
        <v>Propósito 5
Logro de ciudad: 27 - 30</v>
      </c>
      <c r="D20" s="523" t="str">
        <f>+'Plan estratégico 2021-2024'!C17</f>
        <v>Transparencia, acceso a la información y lucha contra la corrupción.
Fortalecimiento organizacional y simplificación de procesos.</v>
      </c>
      <c r="E20" s="523" t="str">
        <f>+'Plan estratégico 2021-2024'!D17</f>
        <v>05 - Fortalecer la capacidad organizacional de Capital para ser una empresa transparente, eficiente y sostenible.</v>
      </c>
      <c r="F20" s="523" t="str">
        <f>+'Plan estratégico 2021-2024'!E17</f>
        <v>5.3. Acompañamiento a las estrategias de comunicación interna planeadas o definidas por Capital en sus diferentes proyectos.</v>
      </c>
      <c r="G20" s="523" t="str">
        <f>+'Plan estratégico 2021-2024'!F18</f>
        <v>Lograr el apoyo al 90% de campañas institucionales.</v>
      </c>
      <c r="H20" s="523" t="str">
        <f>+'Plan estratégico 2021-2024'!G18</f>
        <v>Campañas ejecutadas de cada temática / Campañas solicitadas para cada temática</v>
      </c>
      <c r="I20" s="523" t="str">
        <f>+'Plan estratégico 2021-2024'!H18</f>
        <v>1 Eficacia: (cumplimiento de metas)</v>
      </c>
      <c r="J20" s="520" t="str">
        <f>+'Plan estratégico 2021-2024'!I19</f>
        <v>5.3.3</v>
      </c>
      <c r="K20" s="520" t="str">
        <f>+'Plan estratégico 2021-2024'!J19</f>
        <v>Fortalecer y desarrollar la divulgación de la campaña de Bioseguridad de Capital.</v>
      </c>
      <c r="L20" s="520" t="str">
        <f t="shared" si="0"/>
        <v>5.3.3 Fortalecer y desarrollar la divulgación de la campaña de Bioseguridad de Capital.</v>
      </c>
      <c r="M20" s="520" t="str">
        <f>+'Plan estratégico 2021-2024'!K19</f>
        <v xml:space="preserve"> Trabajar con el área de Talento Humano para el desarrollo de la campaña.</v>
      </c>
      <c r="N20" s="520" t="str">
        <f>+'Plan estratégico 2021-2024'!L19</f>
        <v>Informe semestral sobre las acciones realizadas</v>
      </c>
      <c r="O20" s="518" t="str">
        <f>+'Plan estratégico 2021-2024'!M19</f>
        <v>Comunicaciones sobre Bioseguridad</v>
      </c>
      <c r="P20" s="520" t="str">
        <f>+'Plan estratégico 2021-2024'!N19</f>
        <v>1 Eficacia: (cumplimiento de metas)</v>
      </c>
      <c r="Q20" s="520" t="str">
        <f>+'Plan estratégico 2021-2024'!O19</f>
        <v>Creación de piezas gráficas, publicaciones, videos y boletines para socializar la campaña.</v>
      </c>
      <c r="R20" s="518" t="str">
        <f>+'Plan estratégico 2021-2024'!P19</f>
        <v>Número de comunicaciones gestionadas en asuntos de Bioseguridad / Número de solicitudes de comunicación recibidas en asuntos de Bioseguridad</v>
      </c>
      <c r="S20" s="518" t="s">
        <v>1121</v>
      </c>
      <c r="T20" s="518" t="s">
        <v>1122</v>
      </c>
      <c r="U20" s="520" t="str">
        <f>+'Plan estratégico 2021-2024'!Q19</f>
        <v>Porcentaje (%).</v>
      </c>
      <c r="V20" s="520" t="str">
        <f>+'Plan estratégico 2021-2024'!R19</f>
        <v>No aplica.</v>
      </c>
      <c r="W20" s="307">
        <f>+'Plan estratégico 2021-2024'!S19</f>
        <v>1</v>
      </c>
      <c r="X20" s="520">
        <f>+'Plan estratégico 2021-2024'!T19</f>
        <v>1</v>
      </c>
      <c r="Y20" s="520">
        <f>+'Plan estratégico 2021-2024'!U19</f>
        <v>1</v>
      </c>
      <c r="Z20" s="520">
        <f>+'Plan estratégico 2021-2024'!V19</f>
        <v>1</v>
      </c>
      <c r="AA20" s="395">
        <f>+'Plan estratégico 2021-2024'!W19</f>
        <v>5000000</v>
      </c>
      <c r="AB20" s="395">
        <f>+'Plan estratégico 2021-2024'!X19</f>
        <v>5150000</v>
      </c>
      <c r="AC20" s="395">
        <f>+'Plan estratégico 2021-2024'!Y19</f>
        <v>5304500</v>
      </c>
      <c r="AD20" s="395">
        <f>+'Plan estratégico 2021-2024'!Z19</f>
        <v>5463635</v>
      </c>
      <c r="AE20" s="520" t="str">
        <f>+'Plan estratégico 2021-2024'!AA19</f>
        <v>*Definición de acciones con RRHH.
*Recopilación de información
*Realización de piezas gráficas, videos.
*Socialización</v>
      </c>
      <c r="AF20" s="520" t="str">
        <f>+'Plan estratégico 2021-2024'!AB19</f>
        <v>Número de acciones propuestas/Número de acciones realizadas</v>
      </c>
      <c r="AG20" s="520" t="str">
        <f>+'Plan estratégico 2021-2024'!AC19</f>
        <v>2 Eficiencia: (uso de los recursos)</v>
      </c>
      <c r="AH20" s="520" t="str">
        <f>+'Plan estratégico 2021-2024'!AD19</f>
        <v>Porcentaje (%)</v>
      </c>
      <c r="AI20" s="520" t="str">
        <f>+'Plan estratégico 2021-2024'!AE19</f>
        <v>Trimestral.</v>
      </c>
      <c r="AJ20" s="520" t="str">
        <f>+'Plan estratégico 2021-2024'!AF19</f>
        <v>En los costos definidos para las actividades están relacionados con el valor mensual de los contratistas del equipo de trabajo de comunicaciones que se encargan de la tarea.</v>
      </c>
      <c r="AK20" s="520" t="str">
        <f>+'Plan estratégico 2021-2024'!AG19</f>
        <v>Coordinador de Prensa y Comunicaciones.</v>
      </c>
      <c r="AL20" s="520" t="str">
        <f>+'Plan estratégico 2021-2024'!AH19</f>
        <v>Contratista Prensa y Comunicaciones.</v>
      </c>
      <c r="AM20" s="704">
        <f>9/9</f>
        <v>1</v>
      </c>
      <c r="AN20" s="704"/>
      <c r="AO20" s="704"/>
      <c r="AP20" s="704">
        <f>13/13</f>
        <v>1</v>
      </c>
      <c r="AQ20" s="704"/>
      <c r="AR20" s="704"/>
      <c r="AS20" s="704">
        <f>22/22</f>
        <v>1</v>
      </c>
      <c r="AT20" s="704"/>
      <c r="AU20" s="704"/>
      <c r="AV20" s="704"/>
      <c r="AW20" s="704"/>
      <c r="AX20" s="704"/>
      <c r="AY20" s="307" t="str">
        <f t="shared" si="1"/>
        <v>5.3.3</v>
      </c>
      <c r="AZ20" s="519" t="s">
        <v>970</v>
      </c>
      <c r="BA20" s="519" t="s">
        <v>1239</v>
      </c>
      <c r="BB20" s="536" t="s">
        <v>1314</v>
      </c>
      <c r="BC20" s="411" t="s">
        <v>1006</v>
      </c>
      <c r="BE20" s="436" t="s">
        <v>1029</v>
      </c>
      <c r="BF20" s="436" t="s">
        <v>1031</v>
      </c>
      <c r="BG20" s="436" t="s">
        <v>1033</v>
      </c>
      <c r="BH20" s="436" t="s">
        <v>1023</v>
      </c>
    </row>
    <row r="21" spans="1:60" ht="108.75" customHeight="1" x14ac:dyDescent="0.2">
      <c r="A21" s="307" t="str">
        <f>+'Plan estratégico 2021-2024'!I20</f>
        <v>5.3.4</v>
      </c>
      <c r="B21" s="523" t="str">
        <f>+'Plan estratégico 2021-2024'!A17</f>
        <v>11. Ciudades y comunidades sostenibles.
17. Alianzas para lograr los objetivos.</v>
      </c>
      <c r="C21" s="523" t="str">
        <f>+'Plan estratégico 2021-2024'!B17</f>
        <v>Propósito 5
Logro de ciudad: 27 - 30</v>
      </c>
      <c r="D21" s="523" t="str">
        <f>+'Plan estratégico 2021-2024'!C17</f>
        <v>Transparencia, acceso a la información y lucha contra la corrupción.
Fortalecimiento organizacional y simplificación de procesos.</v>
      </c>
      <c r="E21" s="523" t="str">
        <f>+'Plan estratégico 2021-2024'!D17</f>
        <v>05 - Fortalecer la capacidad organizacional de Capital para ser una empresa transparente, eficiente y sostenible.</v>
      </c>
      <c r="F21" s="523" t="str">
        <f>+'Plan estratégico 2021-2024'!E17</f>
        <v>5.3. Acompañamiento a las estrategias de comunicación interna planeadas o definidas por Capital en sus diferentes proyectos.</v>
      </c>
      <c r="G21" s="523" t="str">
        <f>+'Plan estratégico 2021-2024'!F18</f>
        <v>Lograr el apoyo al 90% de campañas institucionales.</v>
      </c>
      <c r="H21" s="523" t="str">
        <f>+'Plan estratégico 2021-2024'!G18</f>
        <v>Campañas ejecutadas de cada temática / Campañas solicitadas para cada temática</v>
      </c>
      <c r="I21" s="523" t="str">
        <f>+'Plan estratégico 2021-2024'!H18</f>
        <v>1 Eficacia: (cumplimiento de metas)</v>
      </c>
      <c r="J21" s="520" t="str">
        <f>+'Plan estratégico 2021-2024'!I20</f>
        <v>5.3.4</v>
      </c>
      <c r="K21" s="520" t="str">
        <f>+'Plan estratégico 2021-2024'!J20</f>
        <v>Divulgar y fortalecer las campañas de comunicación interna de las diferentes áreas.</v>
      </c>
      <c r="L21" s="520" t="str">
        <f t="shared" si="0"/>
        <v>5.3.4 Divulgar y fortalecer las campañas de comunicación interna de las diferentes áreas.</v>
      </c>
      <c r="M21" s="520" t="str">
        <f>+'Plan estratégico 2021-2024'!K20</f>
        <v>Desarrollar un trabajo conjunto con las áreas responsables de la campaña o proyecto.</v>
      </c>
      <c r="N21" s="520" t="str">
        <f>+'Plan estratégico 2021-2024'!L20</f>
        <v>Informe semestral sobre las acciones realizadas</v>
      </c>
      <c r="O21" s="518" t="str">
        <f>+'Plan estratégico 2021-2024'!M20</f>
        <v>Gestión de las comunicaciones internas</v>
      </c>
      <c r="P21" s="520" t="str">
        <f>+'Plan estratégico 2021-2024'!N20</f>
        <v>1 Eficacia: (cumplimiento de metas)</v>
      </c>
      <c r="Q21" s="520" t="str">
        <f>+'Plan estratégico 2021-2024'!O20</f>
        <v>Definición del protocolo de procesos de divulgación y ejecución de campañas/proyectos.</v>
      </c>
      <c r="R21" s="518" t="str">
        <f>+'Plan estratégico 2021-2024'!P20</f>
        <v>Número de comunicaciones gestionadas sobre campañas y/o proyectos institucionales / Número de solicitudes de comunicación recibidas sobre campañas y/o proyectos institucionales</v>
      </c>
      <c r="S21" s="518" t="s">
        <v>1124</v>
      </c>
      <c r="T21" s="518" t="s">
        <v>1125</v>
      </c>
      <c r="U21" s="520" t="str">
        <f>+'Plan estratégico 2021-2024'!Q20</f>
        <v>Porcentaje (%).</v>
      </c>
      <c r="V21" s="520" t="str">
        <f>+'Plan estratégico 2021-2024'!R20</f>
        <v>No aplica.</v>
      </c>
      <c r="W21" s="307">
        <f>+'Plan estratégico 2021-2024'!S20</f>
        <v>1</v>
      </c>
      <c r="X21" s="520">
        <f>+'Plan estratégico 2021-2024'!T20</f>
        <v>1</v>
      </c>
      <c r="Y21" s="520">
        <f>+'Plan estratégico 2021-2024'!U20</f>
        <v>1</v>
      </c>
      <c r="Z21" s="520">
        <f>+'Plan estratégico 2021-2024'!V20</f>
        <v>1</v>
      </c>
      <c r="AA21" s="395">
        <f>+'Plan estratégico 2021-2024'!W20</f>
        <v>10000000</v>
      </c>
      <c r="AB21" s="395">
        <f>+'Plan estratégico 2021-2024'!X20</f>
        <v>10300000</v>
      </c>
      <c r="AC21" s="395">
        <f>+'Plan estratégico 2021-2024'!Y20</f>
        <v>10609000</v>
      </c>
      <c r="AD21" s="395">
        <f>+'Plan estratégico 2021-2024'!Z20</f>
        <v>10927270</v>
      </c>
      <c r="AE21" s="520" t="str">
        <f>+'Plan estratégico 2021-2024'!AA20</f>
        <v>*Reunión de presentación de campaña y estrategia.
*Definición del plan táctico para ejecutar la estrategia de la campaña.
*Ejecución del plan.</v>
      </c>
      <c r="AF21" s="520" t="str">
        <f>+'Plan estratégico 2021-2024'!AB20</f>
        <v>Número de acciones propuestas/Número de acciones realizadas</v>
      </c>
      <c r="AG21" s="520" t="str">
        <f>+'Plan estratégico 2021-2024'!AC20</f>
        <v>2 Eficiencia: (uso de los recursos)</v>
      </c>
      <c r="AH21" s="520" t="str">
        <f>+'Plan estratégico 2021-2024'!AD20</f>
        <v>Porcentaje (%)</v>
      </c>
      <c r="AI21" s="520" t="str">
        <f>+'Plan estratégico 2021-2024'!AE20</f>
        <v>Trimestral.</v>
      </c>
      <c r="AJ21" s="520" t="str">
        <f>+'Plan estratégico 2021-2024'!AF20</f>
        <v>En los costos definidos para las actividades están relacionados con el valor mensual de los contratistas del equipo de trabajo de comunicaciones que se encargan de la tarea.</v>
      </c>
      <c r="AK21" s="520" t="str">
        <f>+'Plan estratégico 2021-2024'!AG20</f>
        <v>Coordinador de Prensa y Comunicaciones.</v>
      </c>
      <c r="AL21" s="520" t="str">
        <f>+'Plan estratégico 2021-2024'!AH20</f>
        <v>Contratista Prensa y Comunicaciones.</v>
      </c>
      <c r="AM21" s="704">
        <f>5/5</f>
        <v>1</v>
      </c>
      <c r="AN21" s="704"/>
      <c r="AO21" s="704"/>
      <c r="AP21" s="704">
        <f>8/8</f>
        <v>1</v>
      </c>
      <c r="AQ21" s="704"/>
      <c r="AR21" s="704"/>
      <c r="AS21" s="704">
        <f>25/25</f>
        <v>1</v>
      </c>
      <c r="AT21" s="704"/>
      <c r="AU21" s="704"/>
      <c r="AV21" s="704"/>
      <c r="AW21" s="704"/>
      <c r="AX21" s="704"/>
      <c r="AY21" s="307" t="str">
        <f t="shared" si="1"/>
        <v>5.3.4</v>
      </c>
      <c r="AZ21" s="519" t="s">
        <v>1240</v>
      </c>
      <c r="BA21" s="519" t="s">
        <v>1241</v>
      </c>
      <c r="BB21" s="536" t="s">
        <v>1315</v>
      </c>
      <c r="BC21" s="411" t="s">
        <v>1006</v>
      </c>
      <c r="BE21" s="436" t="s">
        <v>1029</v>
      </c>
      <c r="BF21" s="436" t="s">
        <v>1031</v>
      </c>
      <c r="BG21" s="436" t="s">
        <v>1034</v>
      </c>
      <c r="BH21" s="436" t="s">
        <v>1023</v>
      </c>
    </row>
    <row r="22" spans="1:60" ht="356.25" customHeight="1" x14ac:dyDescent="0.2">
      <c r="A22" s="307" t="str">
        <f>+'Plan estratégico 2021-2024'!I21</f>
        <v>1.2.1</v>
      </c>
      <c r="B22" s="523" t="str">
        <f>+'Plan estratégico 2021-2024'!A21</f>
        <v>3. Salud y bienestar.
4. Educación de calidad.
5. Igualdad de Género.
9. Industria, innovación e infraestructura.
10. Reducción de las desigualdades.
17. Alianzas para lograr los objetivos.</v>
      </c>
      <c r="C22" s="523" t="str">
        <f>+'Plan estratégico 2021-2024'!B21</f>
        <v>Propósito 1
Logro de ciudad: 3 - 9 - 10
Propósito 3
Logro de ciudad: 22 - 23
Propósito 5
Logro de ciudad: 30</v>
      </c>
      <c r="D22" s="523" t="str">
        <f>+'Plan estratégico 2021-2024'!C21</f>
        <v>Participación ciudadana en la gestión pública.</v>
      </c>
      <c r="E22" s="523" t="str">
        <f>+'Plan estratégico 2021-2024'!D21</f>
        <v>02 - Implementar prácticas de innovación en diseño, gestión, producción y circulación de contenidos para el posicionamiento del Sistema de Comunicación Pública en la Bogotá Región y la generación de múltiples audiencias ciudadanas.</v>
      </c>
      <c r="F22" s="523" t="str">
        <f>+'Plan estratégico 2021-2024'!E21</f>
        <v>1.2. Cocreación con el sector audiovisual local garantizando múltiples miradas de Bogotá - región, así como, la innovación en los procesos de diseño, producción y/o circulación de contenidos.</v>
      </c>
      <c r="G22" s="523" t="str">
        <f>+'Plan estratégico 2021-2024'!F21</f>
        <v>Desarrollar 4 estrategias que incentiven la cocreación  con el sector audiovisual local (1 por vigencia).</v>
      </c>
      <c r="H22" s="523" t="str">
        <f>+'Plan estratégico 2021-2024'!G21</f>
        <v>Número de estrategias ejecutadas para la cocreación con el sector audiovisual local.</v>
      </c>
      <c r="I22" s="523" t="str">
        <f>+'Plan estratégico 2021-2024'!H21</f>
        <v>3 Efectividad (impacto o beneficios generados)</v>
      </c>
      <c r="J22" s="520" t="str">
        <f>+'Plan estratégico 2021-2024'!I21</f>
        <v>1.2.1</v>
      </c>
      <c r="K22" s="520" t="str">
        <f>+'Plan estratégico 2021-2024'!J21</f>
        <v>Proyecto audiovisual de cocreación de contenidos con el sector audiovisual local.</v>
      </c>
      <c r="L22" s="520" t="str">
        <f t="shared" si="0"/>
        <v>1.2.1 Proyecto audiovisual de cocreación de contenidos con el sector audiovisual local.</v>
      </c>
      <c r="M22" s="520"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2" s="520" t="str">
        <f>+'Plan estratégico 2021-2024'!L21</f>
        <v>Condiciones de participación de llamados públicos socializados.</v>
      </c>
      <c r="O22" s="520" t="str">
        <f>+'Plan estratégico 2021-2024'!M21</f>
        <v>Porcentaje mínimo de presupuesto destinado a cocreación de contenidos del sector audiovisual en Capital</v>
      </c>
      <c r="P22" s="520" t="str">
        <f>+'Plan estratégico 2021-2024'!N21</f>
        <v>2 Eficiencia: (uso de los recursos)</v>
      </c>
      <c r="Q22" s="520"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v>
      </c>
      <c r="R22" s="520" t="str">
        <f>+'Plan estratégico 2021-2024'!P21</f>
        <v>Presupuesto diseñado, apropiado y/o comprometido para llamados públicos de cocreación con sector audiovisual local / Presupuesto total para la producción de contenidos propios recursos hacienda y FuTic plan de inversión</v>
      </c>
      <c r="S22" s="522" t="s">
        <v>1242</v>
      </c>
      <c r="T22" s="522" t="s">
        <v>881</v>
      </c>
      <c r="U22" s="520" t="str">
        <f>+'Plan estratégico 2021-2024'!Q21</f>
        <v>Porcentaje (%).</v>
      </c>
      <c r="V22" s="397">
        <f>+'Plan estratégico 2021-2024'!R21</f>
        <v>0.2</v>
      </c>
      <c r="W22" s="446" t="str">
        <f>+'Plan estratégico 2021-2024'!S21</f>
        <v>25% a 40%</v>
      </c>
      <c r="X22" s="394">
        <f>+'Plan estratégico 2021-2024'!T21</f>
        <v>0.25</v>
      </c>
      <c r="Y22" s="394">
        <f>+'Plan estratégico 2021-2024'!U21</f>
        <v>0.3</v>
      </c>
      <c r="Z22" s="394">
        <f>+'Plan estratégico 2021-2024'!V21</f>
        <v>0.3</v>
      </c>
      <c r="AA22" s="395">
        <f>+'Plan estratégico 2021-2024'!W21</f>
        <v>2600000000</v>
      </c>
      <c r="AB22" s="395">
        <f>+'Plan estratégico 2021-2024'!X21</f>
        <v>2600000000</v>
      </c>
      <c r="AC22" s="395">
        <f>+'Plan estratégico 2021-2024'!Y21</f>
        <v>3000000000</v>
      </c>
      <c r="AD22" s="395">
        <f>+'Plan estratégico 2021-2024'!Z21</f>
        <v>3000000000</v>
      </c>
      <c r="AE22" s="520" t="str">
        <f>+'Plan estratégico 2021-2024'!AA21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520" t="str">
        <f>+'Plan estratégico 2021-2024'!AB21</f>
        <v>Cumplimiento del porcentaje de avance del proceso completo (suma de las actividades de gestión).</v>
      </c>
      <c r="AG22" s="520" t="str">
        <f>+'Plan estratégico 2021-2024'!AC21</f>
        <v>2 Eficiencia: (uso de los recursos)</v>
      </c>
      <c r="AH22" s="520" t="str">
        <f>+'Plan estratégico 2021-2024'!AD21</f>
        <v>Porcentaje (%)</v>
      </c>
      <c r="AI22" s="520" t="str">
        <f>+'Plan estratégico 2021-2024'!AE21</f>
        <v>Trimestral.</v>
      </c>
      <c r="AJ22" s="520" t="str">
        <f>+'Plan estratégico 2021-2024'!AF21</f>
        <v>Se realizará la medición teniendo en cuenta intervalos de cumplimiento del 25% al 40% del presupuesto total asignado a la Dirección Operativa, será asignado a los llamados públicos.</v>
      </c>
      <c r="AK22" s="520" t="str">
        <f>+'Plan estratégico 2021-2024'!AG21</f>
        <v>Director Operativo.</v>
      </c>
      <c r="AL22" s="520" t="str">
        <f>+'Plan estratégico 2021-2024'!AH21</f>
        <v>Coordinadora de producción - Líder de contenidos de ciudadanía, cultura y educación</v>
      </c>
      <c r="AM22" s="703">
        <f>3545000000/12099965328</f>
        <v>0.29297604612111333</v>
      </c>
      <c r="AN22" s="703"/>
      <c r="AO22" s="703"/>
      <c r="AP22" s="703">
        <f>3359147917/12099965328</f>
        <v>0.27761632582754125</v>
      </c>
      <c r="AQ22" s="703"/>
      <c r="AR22" s="703"/>
      <c r="AS22" s="703">
        <f>3347147917/8558626628</f>
        <v>0.39108469880548691</v>
      </c>
      <c r="AT22" s="703"/>
      <c r="AU22" s="703"/>
      <c r="AV22" s="703"/>
      <c r="AW22" s="703"/>
      <c r="AX22" s="703"/>
      <c r="AY22" s="307" t="str">
        <f t="shared" si="1"/>
        <v>1.2.1</v>
      </c>
      <c r="AZ22" s="519" t="s">
        <v>980</v>
      </c>
      <c r="BA22" s="519" t="s">
        <v>1285</v>
      </c>
      <c r="BB22" s="536" t="s">
        <v>1317</v>
      </c>
      <c r="BC22" s="411" t="s">
        <v>1006</v>
      </c>
      <c r="BE22" s="436" t="s">
        <v>1020</v>
      </c>
      <c r="BF22" s="436" t="s">
        <v>1036</v>
      </c>
      <c r="BG22" s="404" t="s">
        <v>1243</v>
      </c>
      <c r="BH22" s="436" t="s">
        <v>1023</v>
      </c>
    </row>
    <row r="23" spans="1:60" ht="207.75" customHeight="1" x14ac:dyDescent="0.2">
      <c r="A23" s="307" t="str">
        <f>+'Plan estratégico 2021-2024'!I22</f>
        <v>1.2.2</v>
      </c>
      <c r="B23" s="523" t="str">
        <f>+'Plan estratégico 2021-2024'!A21</f>
        <v>3. Salud y bienestar.
4. Educación de calidad.
5. Igualdad de Género.
9. Industria, innovación e infraestructura.
10. Reducción de las desigualdades.
17. Alianzas para lograr los objetivos.</v>
      </c>
      <c r="C23" s="523" t="str">
        <f>+'Plan estratégico 2021-2024'!B21</f>
        <v>Propósito 1
Logro de ciudad: 3 - 9 - 10
Propósito 3
Logro de ciudad: 22 - 23
Propósito 5
Logro de ciudad: 30</v>
      </c>
      <c r="D23" s="523" t="str">
        <f>+'Plan estratégico 2021-2024'!C21</f>
        <v>Participación ciudadana en la gestión pública.</v>
      </c>
      <c r="E23" s="523" t="str">
        <f>+'Plan estratégico 2021-2024'!D21</f>
        <v>02 - Implementar prácticas de innovación en diseño, gestión, producción y circulación de contenidos para el posicionamiento del Sistema de Comunicación Pública en la Bogotá Región y la generación de múltiples audiencias ciudadanas.</v>
      </c>
      <c r="F23" s="523" t="str">
        <f>+'Plan estratégico 2021-2024'!E21</f>
        <v>1.2. Cocreación con el sector audiovisual local garantizando múltiples miradas de Bogotá - región, así como, la innovación en los procesos de diseño, producción y/o circulación de contenidos.</v>
      </c>
      <c r="G23" s="523" t="str">
        <f>+'Plan estratégico 2021-2024'!F21</f>
        <v>Desarrollar 4 estrategias que incentiven la cocreación  con el sector audiovisual local (1 por vigencia).</v>
      </c>
      <c r="H23" s="523" t="str">
        <f>+'Plan estratégico 2021-2024'!G21</f>
        <v>Número de estrategias ejecutadas para la cocreación con el sector audiovisual local.</v>
      </c>
      <c r="I23" s="523" t="str">
        <f>+'Plan estratégico 2021-2024'!H21</f>
        <v>3 Efectividad (impacto o beneficios generados)</v>
      </c>
      <c r="J23" s="520" t="str">
        <f>+'Plan estratégico 2021-2024'!I22</f>
        <v>1.2.2</v>
      </c>
      <c r="K23" s="520" t="str">
        <f>+'Plan estratégico 2021-2024'!J21</f>
        <v>Proyecto audiovisual de cocreación de contenidos con el sector audiovisual local.</v>
      </c>
      <c r="L23" s="520" t="str">
        <f t="shared" ref="L23" si="2">CONCATENATE(J23," ",K23)</f>
        <v>1.2.2 Proyecto audiovisual de cocreación de contenidos con el sector audiovisual local.</v>
      </c>
      <c r="M23" s="520"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3" s="520" t="str">
        <f>+'Plan estratégico 2021-2024'!L21</f>
        <v>Condiciones de participación de llamados públicos socializados.</v>
      </c>
      <c r="O23" s="520" t="str">
        <f>+'Plan estratégico 2021-2024'!M21</f>
        <v>Porcentaje mínimo de presupuesto destinado a cocreación de contenidos del sector audiovisual en Capital</v>
      </c>
      <c r="P23" s="520" t="str">
        <f>+'Plan estratégico 2021-2024'!N21</f>
        <v>2 Eficiencia: (uso de los recursos)</v>
      </c>
      <c r="Q23" s="520"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v>
      </c>
      <c r="R23" s="520" t="s">
        <v>943</v>
      </c>
      <c r="S23" s="522" t="s">
        <v>972</v>
      </c>
      <c r="T23" s="522" t="s">
        <v>973</v>
      </c>
      <c r="U23" s="520" t="str">
        <f>+'Plan estratégico 2021-2024'!Q21</f>
        <v>Porcentaje (%).</v>
      </c>
      <c r="V23" s="397" t="str">
        <f>+'Plan estratégico 2021-2024'!R22</f>
        <v>20% al 30%</v>
      </c>
      <c r="W23" s="446" t="str">
        <f>+'Plan estratégico 2021-2024'!S22</f>
        <v>20% a 30%</v>
      </c>
      <c r="X23" s="394" t="str">
        <f>+'Plan estratégico 2021-2024'!T22</f>
        <v>20% a 30%</v>
      </c>
      <c r="Y23" s="394" t="str">
        <f>+'Plan estratégico 2021-2024'!U22</f>
        <v>20% a 30%</v>
      </c>
      <c r="Z23" s="394" t="str">
        <f>+'Plan estratégico 2021-2024'!V22</f>
        <v>20% a 30%</v>
      </c>
      <c r="AA23" s="395">
        <f>+'Plan estratégico 2021-2024'!W22</f>
        <v>0</v>
      </c>
      <c r="AB23" s="395">
        <f>+'Plan estratégico 2021-2024'!X22</f>
        <v>0</v>
      </c>
      <c r="AC23" s="395">
        <f>+'Plan estratégico 2021-2024'!Y22</f>
        <v>0</v>
      </c>
      <c r="AD23" s="395">
        <f>+'Plan estratégico 2021-2024'!Z22</f>
        <v>0</v>
      </c>
      <c r="AE23" s="520" t="str">
        <f>+'Plan estratégico 2021-2024'!AA22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520" t="str">
        <f>+'Plan estratégico 2021-2024'!AB22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520" t="str">
        <f>+'Plan estratégico 2021-2024'!AC22</f>
        <v>2 Eficiencia: (uso de los recursos)</v>
      </c>
      <c r="AH23" s="520" t="str">
        <f>+'Plan estratégico 2021-2024'!AD22</f>
        <v>Porcentaje (%)</v>
      </c>
      <c r="AI23" s="520" t="str">
        <f>+'Plan estratégico 2021-2024'!AE22</f>
        <v>Trimestral.</v>
      </c>
      <c r="AJ23" s="520" t="str">
        <f>+'Plan estratégico 2021-2024'!AF22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520" t="str">
        <f>+'Plan estratégico 2021-2024'!AG22</f>
        <v>Director Operativo.</v>
      </c>
      <c r="AL23" s="520" t="str">
        <f>+'Plan estratégico 2021-2024'!AH22</f>
        <v>Coordinador de Programación.</v>
      </c>
      <c r="AM23" s="703">
        <f>89/535</f>
        <v>0.16635514018691588</v>
      </c>
      <c r="AN23" s="703"/>
      <c r="AO23" s="703"/>
      <c r="AP23" s="703">
        <f>(51+110)/((543+555+531)/3)</f>
        <v>0.2965009208103131</v>
      </c>
      <c r="AQ23" s="703"/>
      <c r="AR23" s="703"/>
      <c r="AS23" s="703">
        <f>130/562</f>
        <v>0.23131672597864769</v>
      </c>
      <c r="AT23" s="703"/>
      <c r="AU23" s="703"/>
      <c r="AV23" s="703"/>
      <c r="AW23" s="703"/>
      <c r="AX23" s="703"/>
      <c r="AY23" s="307" t="str">
        <f t="shared" si="1"/>
        <v>1.2.2</v>
      </c>
      <c r="AZ23" s="519" t="s">
        <v>1244</v>
      </c>
      <c r="BA23" s="519" t="s">
        <v>1209</v>
      </c>
      <c r="BB23" s="536" t="s">
        <v>1318</v>
      </c>
      <c r="BC23" s="411" t="s">
        <v>1006</v>
      </c>
      <c r="BE23" s="436" t="s">
        <v>1020</v>
      </c>
      <c r="BF23" s="436" t="s">
        <v>1035</v>
      </c>
      <c r="BG23" s="436" t="s">
        <v>1243</v>
      </c>
      <c r="BH23" s="436" t="s">
        <v>1023</v>
      </c>
    </row>
    <row r="24" spans="1:60" ht="177" customHeight="1" x14ac:dyDescent="0.2">
      <c r="A24" s="307" t="str">
        <f>+'Plan estratégico 2021-2024'!I23</f>
        <v>2.2.1</v>
      </c>
      <c r="B24" s="523" t="str">
        <f>+'Plan estratégico 2021-2024'!A23</f>
        <v>3. Salud y bienestar.
4. Educación de calidad.
5. Igualdad de Género.
9. Industria, innovación e infraestructura.
10. Reducción de las desigualdades.
17. Alianzas para lograr los objetivos.</v>
      </c>
      <c r="C24" s="523" t="str">
        <f>+'Plan estratégico 2021-2024'!B23</f>
        <v>Propósito 1
Logro de ciudad: 3 - 9 - 10
Propósito 3
Logro de ciudad: 22 - 23
Propósito 5
Logro de ciudad: 30</v>
      </c>
      <c r="D24" s="523" t="str">
        <f>+'Plan estratégico 2021-2024'!C23</f>
        <v>Participación ciudadana en la gestión pública.
Gestión del conocimiento y la innovación.
Gobierno Abierto.</v>
      </c>
      <c r="E24" s="523" t="str">
        <f>+'Plan estratégico 2021-2024'!D23</f>
        <v>01 - Consolidar una oferta de contenidos de interés ciudadano en diferentes formatos y plataformas que promuevan la participación de la ciudadanía.</v>
      </c>
      <c r="F24" s="523" t="str">
        <f>+'Plan estratégico 2021-2024'!E23</f>
        <v>2.2. Cocreación con los ciudadanos de todas las edades garantizando múltiples miradas de Bogotá - región, así como, la innovación en los procesos de diseño, producción y/o circulación de contenidos.</v>
      </c>
      <c r="G24" s="523" t="str">
        <f>+'Plan estratégico 2021-2024'!F23</f>
        <v>Desarrollar estrategias que incentiven la cocreación con la ciudadanía (mínimo una por año)</v>
      </c>
      <c r="H24" s="523" t="str">
        <f>+'Plan estratégico 2021-2024'!G23</f>
        <v>Número de estrategias ejecutadas para la cocreación con la ciudadanía.</v>
      </c>
      <c r="I24" s="523" t="str">
        <f>+'Plan estratégico 2021-2024'!H23</f>
        <v>3 Efectividad (impacto o beneficios generados)</v>
      </c>
      <c r="J24" s="520" t="str">
        <f>+'Plan estratégico 2021-2024'!I23</f>
        <v>2.2.1</v>
      </c>
      <c r="K24" s="520" t="str">
        <f>+'Plan estratégico 2021-2024'!J23</f>
        <v>Proyecto audiovisual de cocreación de contenidos con la ciudadanía (diseño, producción y circulación de contenidos).</v>
      </c>
      <c r="L24" s="520" t="str">
        <f t="shared" si="0"/>
        <v>2.2.1 Proyecto audiovisual de cocreación de contenidos con la ciudadanía (diseño, producción y circulación de contenidos).</v>
      </c>
      <c r="M24" s="520" t="str">
        <f>+'Plan estratégico 2021-2024'!K23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520" t="str">
        <f>+'Plan estratégico 2021-2024'!L23</f>
        <v>Contenido audiovisual circulando en las pantallas de Capital.</v>
      </c>
      <c r="O24" s="520" t="str">
        <f>+'Plan estratégico 2021-2024'!M23</f>
        <v>Porcentaje de avance del proceso para el diseño, producción y circulación de un proyecto audiovisual que incluya la participación activa de la ciudadanía en alguna o varias etapas de dichos procesos.</v>
      </c>
      <c r="P24" s="520" t="str">
        <f>+'Plan estratégico 2021-2024'!N23</f>
        <v>2 Eficiencia: (uso de los recursos)</v>
      </c>
      <c r="Q24" s="520" t="str">
        <f>+'Plan estratégico 2021-2024'!O23</f>
        <v>Garantizar el desarrollo de un proyecto audiovisual que incluya la participación activa de la ciudadanía. Este indicador  tendra un avance conforme las siguientes etapas:
La expresión diseñado: hará referencia a la estructuración de la propuesta técnica que podria tener el proyecto audiovisual de cocreación.
La expresión producción: hará referencia a la contratación de los elementos que se requieran para la producción del proyecto audiovisual de cocreación.
La expresión circulación: hará referencia a la puesta en pantalla del contenido audiovisual de cocreación, puede incluir el preestreno de al menos un capítulo en el caso de proyectos series</v>
      </c>
      <c r="R24" s="520" t="str">
        <f>+'Plan estratégico 2021-2024'!P23</f>
        <v>Porcentaje de avance en la ejecución del proyecto que incluya participación ciudadana / meta anual de proyectos audiovisuales que incluyen la participación activa de la ciudadanía</v>
      </c>
      <c r="S24" s="519" t="s">
        <v>883</v>
      </c>
      <c r="T24" s="519" t="s">
        <v>882</v>
      </c>
      <c r="U24" s="520" t="str">
        <f>+'Plan estratégico 2021-2024'!Q23</f>
        <v>Porcentaje (%).</v>
      </c>
      <c r="V24" s="520">
        <f>+'Plan estratégico 2021-2024'!R23</f>
        <v>1</v>
      </c>
      <c r="W24" s="307">
        <f>+'Plan estratégico 2021-2024'!S23</f>
        <v>1</v>
      </c>
      <c r="X24" s="520">
        <f>+'Plan estratégico 2021-2024'!T23</f>
        <v>1</v>
      </c>
      <c r="Y24" s="520">
        <f>+'Plan estratégico 2021-2024'!U23</f>
        <v>1</v>
      </c>
      <c r="Z24" s="520">
        <f>+'Plan estratégico 2021-2024'!V23</f>
        <v>1</v>
      </c>
      <c r="AA24" s="395">
        <f>+'Plan estratégico 2021-2024'!W23</f>
        <v>500000000</v>
      </c>
      <c r="AB24" s="395">
        <f>+'Plan estratégico 2021-2024'!X23</f>
        <v>515000000</v>
      </c>
      <c r="AC24" s="395">
        <f>+'Plan estratégico 2021-2024'!Y23</f>
        <v>530000000</v>
      </c>
      <c r="AD24" s="395">
        <f>+'Plan estratégico 2021-2024'!Z23</f>
        <v>545000000</v>
      </c>
      <c r="AE24" s="520" t="str">
        <f>+'Plan estratégico 2021-2024'!AA23</f>
        <v>1. Diseño de proyecto
2. Contratación de recursos para desarrollo del proyecto
3. Producción del proyecto
4. Circulación del proyecto</v>
      </c>
      <c r="AF24" s="520" t="str">
        <f>+'Plan estratégico 2021-2024'!AB23</f>
        <v>Cumplimiento del porcentaje de avance del proceso completo (suma de las actividades de gestión).</v>
      </c>
      <c r="AG24" s="520" t="str">
        <f>+'Plan estratégico 2021-2024'!AC23</f>
        <v>2 Eficiencia: (uso de los recursos)</v>
      </c>
      <c r="AH24" s="520" t="str">
        <f>+'Plan estratégico 2021-2024'!AD23</f>
        <v>Porcentaje (%)</v>
      </c>
      <c r="AI24" s="520" t="str">
        <f>+'Plan estratégico 2021-2024'!AE23</f>
        <v>Trimestral.</v>
      </c>
      <c r="AJ24" s="520" t="str">
        <f>+'Plan estratégico 2021-2024'!AF23</f>
        <v>No aplica.</v>
      </c>
      <c r="AK24" s="520" t="str">
        <f>+'Plan estratégico 2021-2024'!AG23</f>
        <v>Director Operativo.</v>
      </c>
      <c r="AL24" s="520" t="str">
        <f>+'Plan estratégico 2021-2024'!AH23</f>
        <v>Coordinadora de producción - Líder de contenidos de ciudadanía, cultura y educación</v>
      </c>
      <c r="AM24" s="703">
        <f>25/100</f>
        <v>0.25</v>
      </c>
      <c r="AN24" s="703"/>
      <c r="AO24" s="703"/>
      <c r="AP24" s="703">
        <f>(25+25)/100</f>
        <v>0.5</v>
      </c>
      <c r="AQ24" s="703"/>
      <c r="AR24" s="703"/>
      <c r="AS24" s="703">
        <f>(25+25+25)/100</f>
        <v>0.75</v>
      </c>
      <c r="AT24" s="703"/>
      <c r="AU24" s="703"/>
      <c r="AV24" s="703"/>
      <c r="AW24" s="703"/>
      <c r="AX24" s="703"/>
      <c r="AY24" s="307" t="str">
        <f t="shared" si="1"/>
        <v>2.2.1</v>
      </c>
      <c r="AZ24" s="519" t="s">
        <v>1245</v>
      </c>
      <c r="BA24" s="519" t="s">
        <v>1210</v>
      </c>
      <c r="BB24" s="536" t="s">
        <v>1319</v>
      </c>
      <c r="BC24" s="411" t="s">
        <v>1005</v>
      </c>
      <c r="BE24" s="436"/>
      <c r="BF24" s="436"/>
      <c r="BG24" s="436"/>
      <c r="BH24" s="436"/>
    </row>
    <row r="25" spans="1:60" ht="171.75" customHeight="1" x14ac:dyDescent="0.2">
      <c r="A25" s="307" t="str">
        <f>+'Plan estratégico 2021-2024'!I24</f>
        <v>4.1.1</v>
      </c>
      <c r="B25" s="523" t="str">
        <f>+'Plan estratégico 2021-2024'!A24</f>
        <v>3. Salud y bienestar.
4. Educación de calidad.
5. Igualdad de Género.
9. Industria, innovación e infraestructura.
10. Reducción de las desigualdades.
17. Alianzas para lograr los objetivos.</v>
      </c>
      <c r="C25" s="523" t="str">
        <f>+'Plan estratégico 2021-2024'!B24</f>
        <v>Propósito 1
Logro de ciudad: 3 - 9 - 10
Propósito 3
Logro de ciudad: 22 - 23
Propósito 5
Logro de ciudad: 30</v>
      </c>
      <c r="D25" s="523" t="str">
        <f>+'Plan estratégico 2021-2024'!C24</f>
        <v>Participación ciudadana en la gestión pública.</v>
      </c>
      <c r="E25" s="523" t="str">
        <f>+'Plan estratégico 2021-2024'!D24</f>
        <v>04 - Consolidar a Capital como una empresa que desarrolla nuevas estrategias de negocios de comunicación pública.</v>
      </c>
      <c r="F25" s="523" t="str">
        <f>+'Plan estratégico 2021-2024'!E24</f>
        <v>4.1. Consolidación del diseño, producción y circulación  de estrategias de comunicación pública como línea de negocio misional de Capital.</v>
      </c>
      <c r="G25" s="523" t="str">
        <f>+'Plan estratégico 2021-2024'!F24</f>
        <v>Desarrollar 4 estrategias que incrementen el porcentaje de participación de proyectos de comunicación pública en el total de ingresos de Capital. (1 por año).</v>
      </c>
      <c r="H25" s="523" t="str">
        <f>+'Plan estratégico 2021-2024'!G24</f>
        <v>Estrategias implementadas / estrategias planeadas</v>
      </c>
      <c r="I25" s="523" t="str">
        <f>+'Plan estratégico 2021-2024'!H24</f>
        <v>3 Efectividad (impacto o beneficios generados)</v>
      </c>
      <c r="J25" s="520" t="str">
        <f>+'Plan estratégico 2021-2024'!I24</f>
        <v>4.1.1</v>
      </c>
      <c r="K25" s="520" t="str">
        <f>+'Plan estratégico 2021-2024'!J24</f>
        <v>Promoción de capital como empresa idónea para las  estrategias de comunicación pública entre potenciales clientes / aliados.</v>
      </c>
      <c r="L25" s="520" t="str">
        <f t="shared" si="0"/>
        <v>4.1.1 Promoción de capital como empresa idónea para las  estrategias de comunicación pública entre potenciales clientes / aliados.</v>
      </c>
      <c r="M25" s="520" t="str">
        <f>+'Plan estratégico 2021-2024'!K24</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5" s="520" t="str">
        <f>+'Plan estratégico 2021-2024'!L24</f>
        <v>Presentación del informe de resultado de la actividad.</v>
      </c>
      <c r="O25" s="520" t="str">
        <f>+'Plan estratégico 2021-2024'!M24</f>
        <v>Porcentaje de ejecución del proceso para la realización de la actividad propuesta.</v>
      </c>
      <c r="P25" s="520" t="str">
        <f>+'Plan estratégico 2021-2024'!N24</f>
        <v>2 Eficiencia: (uso de los recursos)</v>
      </c>
      <c r="Q25" s="520" t="str">
        <f>+'Plan estratégico 2021-2024'!O24</f>
        <v>Garantizar la realización de las actividades propuestas de posicionamiento de la comunicación pública y Capital como socio idóneo.</v>
      </c>
      <c r="R25" s="520" t="str">
        <f>+'Plan estratégico 2021-2024'!P24</f>
        <v>Porcentaje de avance en las actividades ejecutadas  / Porcentaje total de las actividades planeadas</v>
      </c>
      <c r="S25" s="520" t="s">
        <v>1085</v>
      </c>
      <c r="T25" s="520" t="s">
        <v>1086</v>
      </c>
      <c r="U25" s="520" t="e">
        <f>+'Plan estratégico 2021-2024'!#REF!</f>
        <v>#REF!</v>
      </c>
      <c r="V25" s="520" t="str">
        <f>+'Plan estratégico 2021-2024'!R24</f>
        <v>No aplica.</v>
      </c>
      <c r="W25" s="307">
        <f>+'Plan estratégico 2021-2024'!S24</f>
        <v>1</v>
      </c>
      <c r="X25" s="520">
        <f>+'Plan estratégico 2021-2024'!T24</f>
        <v>1</v>
      </c>
      <c r="Y25" s="520">
        <f>+'Plan estratégico 2021-2024'!U24</f>
        <v>1</v>
      </c>
      <c r="Z25" s="520">
        <f>+'Plan estratégico 2021-2024'!V24</f>
        <v>1</v>
      </c>
      <c r="AA25" s="395">
        <f>+'Plan estratégico 2021-2024'!W24</f>
        <v>0</v>
      </c>
      <c r="AB25" s="395">
        <f>+'Plan estratégico 2021-2024'!X24</f>
        <v>0</v>
      </c>
      <c r="AC25" s="395">
        <f>+'Plan estratégico 2021-2024'!Y24</f>
        <v>0</v>
      </c>
      <c r="AD25" s="395">
        <f>+'Plan estratégico 2021-2024'!Z24</f>
        <v>0</v>
      </c>
      <c r="AE25" s="520" t="str">
        <f>+'Plan estratégico 2021-2024'!AA24</f>
        <v xml:space="preserve">* Diseño Plan de posicionamiento y gestión de recursos de Capital y de Eureka 
* Ejecución Plan de posicionamiento y gestión de recursos de Capital y de Eureka, capítulo gestión </v>
      </c>
      <c r="AF25" s="520" t="str">
        <f>+'Plan estratégico 2021-2024'!AB24</f>
        <v>Cumplimiento del porcentaje de avance del proceso completo (suma de las actividades de gestión).</v>
      </c>
      <c r="AG25" s="520" t="str">
        <f>+'Plan estratégico 2021-2024'!AC24</f>
        <v>2 Eficiencia: (uso de los recursos)</v>
      </c>
      <c r="AH25" s="520" t="str">
        <f>+'Plan estratégico 2021-2024'!AD24</f>
        <v>Porcentaje (%)</v>
      </c>
      <c r="AI25" s="520" t="str">
        <f>+'Plan estratégico 2021-2024'!AE24</f>
        <v>Trimestral.</v>
      </c>
      <c r="AJ25" s="520" t="str">
        <f>+'Plan estratégico 2021-2024'!AF24</f>
        <v>No aplica.</v>
      </c>
      <c r="AK25" s="520" t="str">
        <f>+'Plan estratégico 2021-2024'!AG24</f>
        <v>Líder de Proyectos estratégicos</v>
      </c>
      <c r="AL25" s="520" t="str">
        <f>+'Plan estratégico 2021-2024'!AH24</f>
        <v>Líder de proyectos estratégicos</v>
      </c>
      <c r="AM25" s="703">
        <f>10/100</f>
        <v>0.1</v>
      </c>
      <c r="AN25" s="703"/>
      <c r="AO25" s="703"/>
      <c r="AP25" s="703">
        <f>37/100</f>
        <v>0.37</v>
      </c>
      <c r="AQ25" s="703"/>
      <c r="AR25" s="703"/>
      <c r="AS25" s="703">
        <f>81.5/100</f>
        <v>0.81499999999999995</v>
      </c>
      <c r="AT25" s="703"/>
      <c r="AU25" s="703"/>
      <c r="AV25" s="703"/>
      <c r="AW25" s="703"/>
      <c r="AX25" s="703"/>
      <c r="AY25" s="307" t="str">
        <f t="shared" si="1"/>
        <v>4.1.1</v>
      </c>
      <c r="AZ25" s="519" t="s">
        <v>1246</v>
      </c>
      <c r="BA25" s="519" t="s">
        <v>1211</v>
      </c>
      <c r="BB25" s="536" t="s">
        <v>1316</v>
      </c>
      <c r="BC25" s="411" t="s">
        <v>1005</v>
      </c>
      <c r="BE25" s="404"/>
      <c r="BF25" s="436"/>
      <c r="BG25" s="436"/>
      <c r="BH25" s="436"/>
    </row>
    <row r="26" spans="1:60" ht="225.75" customHeight="1" x14ac:dyDescent="0.2">
      <c r="A26" s="307" t="str">
        <f>+'Plan estratégico 2021-2024'!I25</f>
        <v>4.1.2</v>
      </c>
      <c r="B26" s="523" t="str">
        <f>+'Plan estratégico 2021-2024'!A24</f>
        <v>3. Salud y bienestar.
4. Educación de calidad.
5. Igualdad de Género.
9. Industria, innovación e infraestructura.
10. Reducción de las desigualdades.
17. Alianzas para lograr los objetivos.</v>
      </c>
      <c r="C26" s="523" t="str">
        <f>+'Plan estratégico 2021-2024'!B24</f>
        <v>Propósito 1
Logro de ciudad: 3 - 9 - 10
Propósito 3
Logro de ciudad: 22 - 23
Propósito 5
Logro de ciudad: 30</v>
      </c>
      <c r="D26" s="523" t="str">
        <f>+'Plan estratégico 2021-2024'!C24</f>
        <v>Participación ciudadana en la gestión pública.</v>
      </c>
      <c r="E26" s="523" t="str">
        <f>+'Plan estratégico 2021-2024'!D24</f>
        <v>04 - Consolidar a Capital como una empresa que desarrolla nuevas estrategias de negocios de comunicación pública.</v>
      </c>
      <c r="F26" s="523" t="str">
        <f>+'Plan estratégico 2021-2024'!E24</f>
        <v>4.1. Consolidación del diseño, producción y circulación  de estrategias de comunicación pública como línea de negocio misional de Capital.</v>
      </c>
      <c r="G26" s="523" t="str">
        <f>+'Plan estratégico 2021-2024'!F24</f>
        <v>Desarrollar 4 estrategias que incrementen el porcentaje de participación de proyectos de comunicación pública en el total de ingresos de Capital. (1 por año).</v>
      </c>
      <c r="H26" s="523" t="str">
        <f>+'Plan estratégico 2021-2024'!G25</f>
        <v>Porcentaje de avance en la gestión para la suscripción de contratos de las estrategias de comunicación pública y de negocios estratégicos</v>
      </c>
      <c r="I26" s="523" t="str">
        <f>+'Plan estratégico 2021-2024'!H25</f>
        <v>3 Efectividad (impacto o beneficios generados)</v>
      </c>
      <c r="J26" s="520" t="str">
        <f>+'Plan estratégico 2021-2024'!I25</f>
        <v>4.1.2</v>
      </c>
      <c r="K26" s="520" t="str">
        <f>+'Plan estratégico 2021-2024'!J25</f>
        <v>Ejecución de estrategias de comunicación pública y de negocios estratégicos para Capital y para Eureka.</v>
      </c>
      <c r="L26" s="520" t="str">
        <f t="shared" si="0"/>
        <v>4.1.2 Ejecución de estrategias de comunicación pública y de negocios estratégicos para Capital y para Eureka.</v>
      </c>
      <c r="M26" s="520" t="str">
        <f>+'Plan estratégico 2021-2024'!K25</f>
        <v>Diseñar y ejecutar estrategias de comunicación pública, negocios estratégicos y de educomunicación, que arrojen un fee mínimo de 8.5% para Capital, incluido, Eureka</v>
      </c>
      <c r="N26" s="520" t="str">
        <f>+'Plan estratégico 2021-2024'!L25</f>
        <v>Reporte de los resultados del Plan de posicionamiento respecto a la gestión de recursos de Capital y de Eureka</v>
      </c>
      <c r="O26" s="520" t="str">
        <f>+'Plan estratégico 2021-2024'!M25</f>
        <v>Porcentaje de las estrategias de comunicación pública y de negocios estratégicos, de contratos suscritos que logran el fee mínimo de 8.5%.</v>
      </c>
      <c r="P26" s="520" t="str">
        <f>+'Plan estratégico 2021-2024'!N25</f>
        <v>2 Eficiencia: (uso de los recursos)</v>
      </c>
      <c r="Q26" s="520" t="str">
        <f>+'Plan estratégico 2021-2024'!O25</f>
        <v>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v>
      </c>
      <c r="R26" s="520" t="str">
        <f>+'Plan estratégico 2021-2024'!P25</f>
        <v>(Número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v>
      </c>
      <c r="S26" s="520" t="s">
        <v>1132</v>
      </c>
      <c r="T26" s="520" t="s">
        <v>1133</v>
      </c>
      <c r="U26" s="520" t="str">
        <f>+'Plan estratégico 2021-2024'!Q25</f>
        <v>Porcentaje (%).</v>
      </c>
      <c r="V26" s="394" t="str">
        <f>+'Plan estratégico 2021-2024'!R25</f>
        <v>No aplica.</v>
      </c>
      <c r="W26" s="446">
        <f>+'Plan estratégico 2021-2024'!S25</f>
        <v>0.7</v>
      </c>
      <c r="X26" s="394">
        <f>+'Plan estratégico 2021-2024'!T25</f>
        <v>0.8</v>
      </c>
      <c r="Y26" s="394">
        <f>+'Plan estratégico 2021-2024'!U25</f>
        <v>0.9</v>
      </c>
      <c r="Z26" s="394">
        <f>+'Plan estratégico 2021-2024'!V25</f>
        <v>1</v>
      </c>
      <c r="AA26" s="395" t="s">
        <v>40</v>
      </c>
      <c r="AB26" s="395" t="s">
        <v>40</v>
      </c>
      <c r="AC26" s="395" t="s">
        <v>40</v>
      </c>
      <c r="AD26" s="395" t="s">
        <v>40</v>
      </c>
      <c r="AE26" s="520" t="str">
        <f>+'Plan estratégico 2021-2024'!AA25</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6" s="520" t="str">
        <f>+'Plan estratégico 2021-2024'!AB25</f>
        <v>Cumplimiento del porcentaje de avance del proceso completo (suma de las actividades de gestión).</v>
      </c>
      <c r="AG26" s="520" t="str">
        <f>+'Plan estratégico 2021-2024'!AC25</f>
        <v>2 Eficiencia: (uso de los recursos)</v>
      </c>
      <c r="AH26" s="520" t="str">
        <f>+'Plan estratégico 2021-2024'!AD25</f>
        <v>Porcentaje (%)</v>
      </c>
      <c r="AI26" s="520" t="str">
        <f>+'Plan estratégico 2021-2024'!AE25</f>
        <v>Trimestral.</v>
      </c>
      <c r="AJ26" s="520" t="str">
        <f>+'Plan estratégico 2021-2024'!AF25</f>
        <v>No aplica.</v>
      </c>
      <c r="AK26" s="520" t="str">
        <f>+'Plan estratégico 2021-2024'!AG25</f>
        <v>Líder de Proyectos estratégicos</v>
      </c>
      <c r="AL26" s="520" t="str">
        <f>+'Plan estratégico 2021-2024'!AH25</f>
        <v>Líder de proyectos estratégicos</v>
      </c>
      <c r="AM26" s="693">
        <f>10/10</f>
        <v>1</v>
      </c>
      <c r="AN26" s="693"/>
      <c r="AO26" s="693"/>
      <c r="AP26" s="693">
        <f>6/7</f>
        <v>0.8571428571428571</v>
      </c>
      <c r="AQ26" s="693"/>
      <c r="AR26" s="693"/>
      <c r="AS26" s="693">
        <f>23/23</f>
        <v>1</v>
      </c>
      <c r="AT26" s="693"/>
      <c r="AU26" s="693"/>
      <c r="AV26" s="693"/>
      <c r="AW26" s="693"/>
      <c r="AX26" s="693"/>
      <c r="AY26" s="307" t="str">
        <f t="shared" si="1"/>
        <v>4.1.2</v>
      </c>
      <c r="AZ26" s="519" t="s">
        <v>1212</v>
      </c>
      <c r="BA26" s="519" t="s">
        <v>1213</v>
      </c>
      <c r="BB26" s="536" t="s">
        <v>1357</v>
      </c>
      <c r="BC26" s="411" t="s">
        <v>1006</v>
      </c>
      <c r="BE26" s="436"/>
      <c r="BF26" s="436"/>
      <c r="BG26" s="404"/>
      <c r="BH26" s="404"/>
    </row>
    <row r="27" spans="1:60" ht="165.75" customHeight="1" x14ac:dyDescent="0.2">
      <c r="A27" s="307" t="str">
        <f>+'Plan estratégico 2021-2024'!I26</f>
        <v>3.1.1</v>
      </c>
      <c r="B27" s="523" t="str">
        <f>+'Plan estratégico 2021-2024'!A26</f>
        <v>9. Industria, innovación e infraestructura.
16. Paz, justicia e instituciones sólidas.</v>
      </c>
      <c r="C27" s="523" t="str">
        <f>+'Plan estratégico 2021-2024'!B26</f>
        <v>Propósito 1
Logro de ciudad: 5
Propósito 5
Logro de ciudad: 29 - 30</v>
      </c>
      <c r="D27" s="523" t="str">
        <f>+'Plan estratégico 2021-2024'!C26</f>
        <v>Gobierno Digital.</v>
      </c>
      <c r="E27" s="523" t="str">
        <f>+'Plan estratégico 2021-2024'!D26</f>
        <v>03 - Generar una cultura digital y de gestión del conocimiento para la optimización de los procesos internos y externos.</v>
      </c>
      <c r="F27" s="523" t="str">
        <f>+'Plan estratégico 2021-2024'!E26</f>
        <v xml:space="preserve">3.1. Optimización de presencias digitales </v>
      </c>
      <c r="G27" s="523" t="str">
        <f>+'Plan estratégico 2021-2024'!F26</f>
        <v>Implementar como mínimo una (1) estrategia digital por cada vigencia.</v>
      </c>
      <c r="H27" s="523" t="str">
        <f>+'Plan estratégico 2021-2024'!G26</f>
        <v>Numero de estrategias digitales implementadas para cada vigencia / número de estrategias digitales planificadas para cada vigencia</v>
      </c>
      <c r="I27" s="523" t="str">
        <f>+'Plan estratégico 2021-2024'!H26</f>
        <v>2 Eficiencia: (uso de los recursos)</v>
      </c>
      <c r="J27" s="520" t="str">
        <f>+'Plan estratégico 2021-2024'!I26</f>
        <v>3.1.1</v>
      </c>
      <c r="K27" s="520" t="str">
        <f>+'Plan estratégico 2021-2024'!J26</f>
        <v xml:space="preserve">Rediseño de página web y optimización del canal de YouTube de capital </v>
      </c>
      <c r="L27" s="520" t="str">
        <f t="shared" si="0"/>
        <v xml:space="preserve">3.1.1 Rediseño de página web y optimización del canal de YouTube de capital </v>
      </c>
      <c r="M27" s="520" t="str">
        <f>+'Plan estratégico 2021-2024'!K26</f>
        <v>Realizar acciones que potencialicen los recursos internos disponibles por Capital para unificar las páginas web de capital en una sola y cumplir con los lineamientos de gobierno en línea</v>
      </c>
      <c r="N27" s="520" t="str">
        <f>+'Plan estratégico 2021-2024'!L26</f>
        <v>Página web rediseñada y canal de YouTube optimizado</v>
      </c>
      <c r="O27" s="518" t="str">
        <f>+'Plan estratégico 2021-2024'!M26</f>
        <v>Porcentaje de avance en las plataformas digitales optimizadas para la publicación de contenidos (2)</v>
      </c>
      <c r="P27" s="520" t="str">
        <f>+'Plan estratégico 2021-2024'!N26</f>
        <v>2 Eficiencia: (uso de los recursos)</v>
      </c>
      <c r="Q27" s="520" t="str">
        <f>+'Plan estratégico 2021-2024'!O26</f>
        <v>Hace referencia al porcentaje de avance en las actividades de intervención de las plataformas tecnológicas, durante la vigencia, para  unificar las páginas web de capital en una sola que cumpla con los lineamientos de gobierno en línea, así como del canal de YouTube.</v>
      </c>
      <c r="R27" s="520" t="str">
        <f>+'Plan estratégico 2021-2024'!P26</f>
        <v>Porcentaje de avance en la intervención de las plataformas / Porcentaje programado para 2021 de actividades de rediseño en las plataformas a intervenir (página web y canal de youtube)</v>
      </c>
      <c r="S27" s="520" t="s">
        <v>1134</v>
      </c>
      <c r="T27" s="520" t="s">
        <v>1135</v>
      </c>
      <c r="U27" s="520" t="str">
        <f>+'Plan estratégico 2021-2024'!Q26</f>
        <v>Porcentaje (%).</v>
      </c>
      <c r="V27" s="520" t="str">
        <f>+'Plan estratégico 2021-2024'!R26</f>
        <v>No aplica.</v>
      </c>
      <c r="W27" s="307">
        <f>+'Plan estratégico 2021-2024'!S26</f>
        <v>1</v>
      </c>
      <c r="X27" s="520" t="str">
        <f>+'Plan estratégico 2021-2024'!T26</f>
        <v>-</v>
      </c>
      <c r="Y27" s="520" t="str">
        <f>+'Plan estratégico 2021-2024'!U26</f>
        <v>-</v>
      </c>
      <c r="Z27" s="520" t="str">
        <f>+'Plan estratégico 2021-2024'!V26</f>
        <v>-</v>
      </c>
      <c r="AA27" s="395">
        <f>+'Plan estratégico 2021-2024'!W26</f>
        <v>150000000</v>
      </c>
      <c r="AB27" s="395">
        <f>+'Plan estratégico 2021-2024'!X26</f>
        <v>0</v>
      </c>
      <c r="AC27" s="395">
        <f>+'Plan estratégico 2021-2024'!Y26</f>
        <v>0</v>
      </c>
      <c r="AD27" s="395">
        <f>+'Plan estratégico 2021-2024'!Z26</f>
        <v>0</v>
      </c>
      <c r="AE27" s="520" t="str">
        <f>+'Plan estratégico 2021-2024'!AA26</f>
        <v>1. Definir plan de trabajo interno para el rediseño de la página web y el correspondiente a la fortalecimiento del canal de YouTube
2. Ejecutar plan de trabajo de intervención de las plataformas a optimizar
3. Realizar pruebas de QA previo a la salida producción</v>
      </c>
      <c r="AF27" s="520" t="str">
        <f>+'Plan estratégico 2021-2024'!AB26</f>
        <v>Cumplimiento del porcentaje de avance del proceso definido para la vigencia (suma de las actividades de gestión).</v>
      </c>
      <c r="AG27" s="520" t="str">
        <f>+'Plan estratégico 2021-2024'!AC26</f>
        <v>2 Eficiencia: (uso de los recursos)</v>
      </c>
      <c r="AH27" s="520" t="str">
        <f>+'Plan estratégico 2021-2024'!AD26</f>
        <v>Porcentaje (%)</v>
      </c>
      <c r="AI27" s="520" t="str">
        <f>+'Plan estratégico 2021-2024'!AE26</f>
        <v>Trimestral.</v>
      </c>
      <c r="AJ27" s="520" t="str">
        <f>+'Plan estratégico 2021-2024'!AF26</f>
        <v>El costo de la propuesta para 2021 oscila entre 100´000,000 - 150´000,000</v>
      </c>
      <c r="AK27" s="520" t="str">
        <f>+'Plan estratégico 2021-2024'!AG26</f>
        <v>Director Operativo.</v>
      </c>
      <c r="AL27" s="520" t="str">
        <f>+'Plan estratégico 2021-2024'!AH26</f>
        <v>Coordinadora de producción - Líder del equipo digital</v>
      </c>
      <c r="AM27" s="693">
        <f>25/100</f>
        <v>0.25</v>
      </c>
      <c r="AN27" s="693"/>
      <c r="AO27" s="693"/>
      <c r="AP27" s="693">
        <f>50/100</f>
        <v>0.5</v>
      </c>
      <c r="AQ27" s="693"/>
      <c r="AR27" s="693"/>
      <c r="AS27" s="703">
        <f>(25+25+25)/100</f>
        <v>0.75</v>
      </c>
      <c r="AT27" s="703"/>
      <c r="AU27" s="703"/>
      <c r="AV27" s="693"/>
      <c r="AW27" s="693"/>
      <c r="AX27" s="693"/>
      <c r="AY27" s="307" t="str">
        <f t="shared" si="1"/>
        <v>3.1.1</v>
      </c>
      <c r="AZ27" s="519" t="s">
        <v>1247</v>
      </c>
      <c r="BA27" s="519" t="s">
        <v>1248</v>
      </c>
      <c r="BB27" s="536" t="s">
        <v>1320</v>
      </c>
      <c r="BC27" s="411" t="s">
        <v>1005</v>
      </c>
      <c r="BE27" s="404" t="s">
        <v>1037</v>
      </c>
      <c r="BF27" s="436" t="s">
        <v>1036</v>
      </c>
      <c r="BG27" s="436" t="s">
        <v>1038</v>
      </c>
      <c r="BH27" s="436" t="s">
        <v>1023</v>
      </c>
    </row>
    <row r="28" spans="1:60" ht="141.75" customHeight="1" x14ac:dyDescent="0.2">
      <c r="A28" s="307" t="str">
        <f>+'Plan estratégico 2021-2024'!I27</f>
        <v>3.1.2</v>
      </c>
      <c r="B28" s="523" t="str">
        <f>+'Plan estratégico 2021-2024'!A26</f>
        <v>9. Industria, innovación e infraestructura.
16. Paz, justicia e instituciones sólidas.</v>
      </c>
      <c r="C28" s="523" t="str">
        <f>+'Plan estratégico 2021-2024'!B26</f>
        <v>Propósito 1
Logro de ciudad: 5
Propósito 5
Logro de ciudad: 29 - 30</v>
      </c>
      <c r="D28" s="523" t="str">
        <f>+'Plan estratégico 2021-2024'!C26</f>
        <v>Gobierno Digital.</v>
      </c>
      <c r="E28" s="523" t="str">
        <f>+'Plan estratégico 2021-2024'!D26</f>
        <v>03 - Generar una cultura digital y de gestión del conocimiento para la optimización de los procesos internos y externos.</v>
      </c>
      <c r="F28" s="523" t="str">
        <f>+'Plan estratégico 2021-2024'!E26</f>
        <v xml:space="preserve">3.1. Optimización de presencias digitales </v>
      </c>
      <c r="G28" s="523" t="str">
        <f>+'Plan estratégico 2021-2024'!F26</f>
        <v>Implementar como mínimo una (1) estrategia digital por cada vigencia.</v>
      </c>
      <c r="H28" s="523" t="str">
        <f>+'Plan estratégico 2021-2024'!G26</f>
        <v>Numero de estrategias digitales implementadas para cada vigencia / número de estrategias digitales planificadas para cada vigencia</v>
      </c>
      <c r="I28" s="523" t="str">
        <f>+'Plan estratégico 2021-2024'!H26</f>
        <v>2 Eficiencia: (uso de los recursos)</v>
      </c>
      <c r="J28" s="520" t="str">
        <f>+'Plan estratégico 2021-2024'!I27</f>
        <v>3.1.2</v>
      </c>
      <c r="K28" s="520" t="str">
        <f>+'Plan estratégico 2021-2024'!J27</f>
        <v xml:space="preserve">Estandarización de lineamientos internos para el fortalecimiento de la interacción en redes sociales </v>
      </c>
      <c r="L28" s="520" t="str">
        <f t="shared" si="0"/>
        <v xml:space="preserve">3.1.2 Estandarización de lineamientos internos para el fortalecimiento de la interacción en redes sociales </v>
      </c>
      <c r="M28" s="520" t="str">
        <f>+'Plan estratégico 2021-2024'!K27</f>
        <v>Consolidar mecanismos o buenas prácticas que faciliten y potencialicen el uso de la redes sociales como un elementos de interacción con la ciudadanía</v>
      </c>
      <c r="N28" s="520" t="str">
        <f>+'Plan estratégico 2021-2024'!L27</f>
        <v xml:space="preserve">Documento de relacionamiento con las audiencias a través de las redes sociales </v>
      </c>
      <c r="O28" s="518" t="str">
        <f>+'Plan estratégico 2021-2024'!M27</f>
        <v>Porcentaje de avance en la documentación del estándar de relacionamiento con audiencias en redes sociales</v>
      </c>
      <c r="P28" s="520" t="str">
        <f>+'Plan estratégico 2021-2024'!N27</f>
        <v>1 Eficacia: (cumplimiento de metas)</v>
      </c>
      <c r="Q28" s="520" t="str">
        <f>+'Plan estratégico 2021-2024'!O27</f>
        <v xml:space="preserve">Este indicador esta asociado a la  determinación y consolidación de las buenas prácticas aplicables en Capital para fortalecer el relacionamiento con las audiencias haciendo uso de herramientas digitales </v>
      </c>
      <c r="R28" s="518" t="str">
        <f>+'Plan estratégico 2021-2024'!P27</f>
        <v>Porcentaje de avance en la elaboración del documento de estándares / Porcentaje programado de documentación del estándar de relacionamiento.</v>
      </c>
      <c r="S28" s="520" t="s">
        <v>884</v>
      </c>
      <c r="T28" s="520" t="s">
        <v>885</v>
      </c>
      <c r="U28" s="520" t="str">
        <f>+'Plan estratégico 2021-2024'!Q27</f>
        <v>Porcentaje (%).</v>
      </c>
      <c r="V28" s="446">
        <f>+'Plan estratégico 2021-2024'!R27</f>
        <v>1</v>
      </c>
      <c r="W28" s="446">
        <f>+'Plan estratégico 2021-2024'!S27</f>
        <v>1</v>
      </c>
      <c r="X28" s="520" t="str">
        <f>+'Plan estratégico 2021-2024'!T27</f>
        <v>-</v>
      </c>
      <c r="Y28" s="520" t="str">
        <f>+'Plan estratégico 2021-2024'!U27</f>
        <v>-</v>
      </c>
      <c r="Z28" s="520" t="str">
        <f>+'Plan estratégico 2021-2024'!V27</f>
        <v>-</v>
      </c>
      <c r="AA28" s="395">
        <f>+'Plan estratégico 2021-2024'!W27</f>
        <v>0</v>
      </c>
      <c r="AB28" s="395">
        <f>+'Plan estratégico 2021-2024'!X27</f>
        <v>0</v>
      </c>
      <c r="AC28" s="395">
        <f>+'Plan estratégico 2021-2024'!Y27</f>
        <v>0</v>
      </c>
      <c r="AD28" s="395">
        <f>+'Plan estratégico 2021-2024'!Z27</f>
        <v>0</v>
      </c>
      <c r="AE28" s="520" t="str">
        <f>+'Plan estratégico 2021-2024'!AA27</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8" s="520" t="str">
        <f>+'Plan estratégico 2021-2024'!AB27</f>
        <v>Cumplimiento del porcentaje de avance del proceso completo (suma de las actividades de gestión).</v>
      </c>
      <c r="AG28" s="520" t="str">
        <f>+'Plan estratégico 2021-2024'!AC27</f>
        <v>2 Eficiencia: (uso de los recursos)</v>
      </c>
      <c r="AH28" s="520" t="str">
        <f>+'Plan estratégico 2021-2024'!AD27</f>
        <v>Porcentaje (%)</v>
      </c>
      <c r="AI28" s="520" t="str">
        <f>+'Plan estratégico 2021-2024'!AE27</f>
        <v>Trimestral.</v>
      </c>
      <c r="AJ28" s="520" t="str">
        <f>+'Plan estratégico 2021-2024'!AF27</f>
        <v>No aplica.</v>
      </c>
      <c r="AK28" s="520" t="str">
        <f>+'Plan estratégico 2021-2024'!AG27</f>
        <v>Director Operativo.</v>
      </c>
      <c r="AL28" s="520" t="str">
        <f>+'Plan estratégico 2021-2024'!AH27</f>
        <v>Coordinadora de producción - Líder del equipo digital</v>
      </c>
      <c r="AM28" s="693">
        <f>25/100</f>
        <v>0.25</v>
      </c>
      <c r="AN28" s="693"/>
      <c r="AO28" s="693"/>
      <c r="AP28" s="693">
        <f>50/100</f>
        <v>0.5</v>
      </c>
      <c r="AQ28" s="693"/>
      <c r="AR28" s="693"/>
      <c r="AS28" s="703">
        <f>(25+25+25)/100</f>
        <v>0.75</v>
      </c>
      <c r="AT28" s="703"/>
      <c r="AU28" s="703"/>
      <c r="AV28" s="693"/>
      <c r="AW28" s="693"/>
      <c r="AX28" s="693"/>
      <c r="AY28" s="307" t="str">
        <f t="shared" si="1"/>
        <v>3.1.2</v>
      </c>
      <c r="AZ28" s="519" t="s">
        <v>1249</v>
      </c>
      <c r="BA28" s="519" t="s">
        <v>1250</v>
      </c>
      <c r="BB28" s="536" t="s">
        <v>1321</v>
      </c>
      <c r="BC28" s="411" t="s">
        <v>1005</v>
      </c>
      <c r="BE28" s="436"/>
      <c r="BF28" s="436"/>
      <c r="BG28" s="436"/>
      <c r="BH28" s="436"/>
    </row>
    <row r="29" spans="1:60" ht="280.5" customHeight="1" x14ac:dyDescent="0.2">
      <c r="A29" s="307" t="str">
        <f>+'Plan estratégico 2021-2024'!I28</f>
        <v>5.4.1</v>
      </c>
      <c r="B29" s="523" t="str">
        <f>+'Plan estratégico 2021-2024'!A28</f>
        <v>11. Ciudades y comunidades sostenibles.
17. Alianzas para lograr los objetivos.</v>
      </c>
      <c r="C29" s="523" t="str">
        <f>+'Plan estratégico 2021-2024'!B28</f>
        <v>Propósito 5
Logro de ciudad: 27 - 30</v>
      </c>
      <c r="D29" s="523" t="str">
        <f>+'Plan estratégico 2021-2024'!C28</f>
        <v>Gestión documental y archivo.</v>
      </c>
      <c r="E29" s="523" t="str">
        <f>+'Plan estratégico 2021-2024'!D28</f>
        <v>05 - Fortalecer la capacidad organizacional de Capital para ser una empresa transparente, eficiente y sostenible.</v>
      </c>
      <c r="F29" s="523" t="str">
        <f>+'Plan estratégico 2021-2024'!E28</f>
        <v>5.4. Fortalecimiento a la gestión documental para el uso adecuado e implementación de los instrumentos archivísticos en Canal Capital</v>
      </c>
      <c r="G29" s="523" t="str">
        <f>+'Plan estratégico 2021-2024'!F28</f>
        <v>Cumplir al 100% los requerimientos del archivo sobre la implementación de instrumentos archivísticos.</v>
      </c>
      <c r="H29" s="523" t="str">
        <f>+'Plan estratégico 2021-2024'!G28</f>
        <v xml:space="preserve">No de transferencias secundarias y actualizaciones de las TRD realizadas </v>
      </c>
      <c r="I29" s="523" t="str">
        <f>+'Plan estratégico 2021-2024'!H28</f>
        <v>1 Eficacia: (cumplimiento de metas)</v>
      </c>
      <c r="J29" s="520" t="str">
        <f>+'Plan estratégico 2021-2024'!I28</f>
        <v>5.4.1</v>
      </c>
      <c r="K29" s="520" t="str">
        <f>+'Plan estratégico 2021-2024'!J28</f>
        <v>Plan Institucional de Archivos PINAR</v>
      </c>
      <c r="L29" s="520" t="str">
        <f t="shared" si="0"/>
        <v>5.4.1 Plan Institucional de Archivos PINAR</v>
      </c>
      <c r="M29" s="520" t="str">
        <f>+'Plan estratégico 2021-2024'!K28</f>
        <v>Aplicar las Tablas de Valoración Documental por medio de la transferencia secundaria, actualización e implementación las tablas de retención documental. (Anexo 6).</v>
      </c>
      <c r="N29" s="520" t="str">
        <f>+'Plan estratégico 2021-2024'!L28</f>
        <v>Acta de transferencia secundaria y aprobación de las TRD</v>
      </c>
      <c r="O29" s="518" t="str">
        <f>+'Plan estratégico 2021-2024'!M28</f>
        <v xml:space="preserve">Porcentaje de avance en la Organización (Clasificación, Ordenación, Foliación y Almacenamiento) de los expedientes a transferir en cada una de las vigencias.   </v>
      </c>
      <c r="P29" s="520" t="str">
        <f>+'Plan estratégico 2021-2024'!N28</f>
        <v>1 Eficacia: (cumplimiento de metas)</v>
      </c>
      <c r="Q29" s="520" t="str">
        <f>+'Plan estratégico 2021-2024'!O28</f>
        <v>En relación al cronograma de transferencias secundarias se define la proyección de transferencias secundarias que se realizaran por año y el número de TRD actualizadas</v>
      </c>
      <c r="R29" s="520" t="str">
        <f>+'Plan estratégico 2021-2024'!P28</f>
        <v>Número de expedientes a transferir intervenidos / Número de transferencias proyectadas</v>
      </c>
      <c r="S29" s="520" t="s">
        <v>1155</v>
      </c>
      <c r="T29" s="520" t="s">
        <v>1156</v>
      </c>
      <c r="U29" s="520" t="str">
        <f>+'Plan estratégico 2021-2024'!Q28</f>
        <v>Porcentaje (%).</v>
      </c>
      <c r="V29" s="520" t="str">
        <f>+'Plan estratégico 2021-2024'!R28</f>
        <v>No aplica.</v>
      </c>
      <c r="W29" s="446">
        <f>+'Plan estratégico 2021-2024'!S28</f>
        <v>1</v>
      </c>
      <c r="X29" s="394">
        <f>+'Plan estratégico 2021-2024'!T28</f>
        <v>1</v>
      </c>
      <c r="Y29" s="394">
        <f>+'Plan estratégico 2021-2024'!U28</f>
        <v>1</v>
      </c>
      <c r="Z29" s="394">
        <f>+'Plan estratégico 2021-2024'!V28</f>
        <v>1</v>
      </c>
      <c r="AA29" s="395">
        <f>+'Plan estratégico 2021-2024'!W28</f>
        <v>186174190</v>
      </c>
      <c r="AB29" s="395">
        <f>+'Plan estratégico 2021-2024'!X28</f>
        <v>191759416</v>
      </c>
      <c r="AC29" s="395">
        <f>+'Plan estratégico 2021-2024'!Y28</f>
        <v>197512198</v>
      </c>
      <c r="AD29" s="395">
        <f>+'Plan estratégico 2021-2024'!Z28</f>
        <v>203437563</v>
      </c>
      <c r="AE29" s="520" t="str">
        <f>+'Plan estratégico 2021-2024'!AA28</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29" s="520" t="str">
        <f>+'Plan estratégico 2021-2024'!AB28</f>
        <v>Cumplimiento de las actividades de gestión, según su ponderación.</v>
      </c>
      <c r="AG29" s="520" t="str">
        <f>+'Plan estratégico 2021-2024'!AC28</f>
        <v>2 Eficiencia: (uso de los recursos)</v>
      </c>
      <c r="AH29" s="520" t="str">
        <f>+'Plan estratégico 2021-2024'!AD28</f>
        <v>Porcentaje (%)</v>
      </c>
      <c r="AI29" s="520" t="str">
        <f>+'Plan estratégico 2021-2024'!AE28</f>
        <v>Trimestral.</v>
      </c>
      <c r="AJ29" s="520" t="str">
        <f>+'Plan estratégico 2021-2024'!AF28</f>
        <v>Se define el costo en:
Coordinador de Gestión Documental
Apoyo Profesional Gestión Documental
Técnico Gestión Documental
2 Auxiliares de Archivo
Compra de unidades de conservación (cajas y carpetas).</v>
      </c>
      <c r="AK29" s="520" t="str">
        <f>+'Plan estratégico 2021-2024'!AG28</f>
        <v>Subdirectora Administrativa</v>
      </c>
      <c r="AL29" s="520" t="str">
        <f>+'Plan estratégico 2021-2024'!AH28</f>
        <v>Grupo de Gestión Documental</v>
      </c>
      <c r="AM29" s="694">
        <v>0</v>
      </c>
      <c r="AN29" s="694"/>
      <c r="AO29" s="694"/>
      <c r="AP29" s="696">
        <f>13/100</f>
        <v>0.13</v>
      </c>
      <c r="AQ29" s="696"/>
      <c r="AR29" s="696"/>
      <c r="AS29" s="694">
        <f>30/100</f>
        <v>0.3</v>
      </c>
      <c r="AT29" s="694"/>
      <c r="AU29" s="694"/>
      <c r="AV29" s="694"/>
      <c r="AW29" s="694"/>
      <c r="AX29" s="694"/>
      <c r="AY29" s="307" t="str">
        <f t="shared" si="1"/>
        <v>5.4.1</v>
      </c>
      <c r="AZ29" s="519" t="s">
        <v>1251</v>
      </c>
      <c r="BA29" s="519" t="s">
        <v>1252</v>
      </c>
      <c r="BB29" s="536" t="s">
        <v>1371</v>
      </c>
      <c r="BC29" s="411" t="s">
        <v>1004</v>
      </c>
      <c r="BE29" s="404" t="s">
        <v>1039</v>
      </c>
      <c r="BF29" s="436" t="s">
        <v>1027</v>
      </c>
      <c r="BG29" s="436" t="s">
        <v>1040</v>
      </c>
      <c r="BH29" s="436" t="s">
        <v>1022</v>
      </c>
    </row>
    <row r="30" spans="1:60" s="60" customFormat="1" ht="123.75" customHeight="1" x14ac:dyDescent="0.2">
      <c r="A30" s="307" t="str">
        <f>+'Plan estratégico 2021-2024'!I29</f>
        <v>5.5.1</v>
      </c>
      <c r="B30" s="523" t="str">
        <f>+'Plan estratégico 2021-2024'!A29</f>
        <v>11. Ciudades y comunidades sostenibles.
17. Alianzas para lograr los objetivos.</v>
      </c>
      <c r="C30" s="523" t="str">
        <f>+'Plan estratégico 2021-2024'!B29</f>
        <v>Propósito 5
Logro de ciudad: 29 - 30</v>
      </c>
      <c r="D30" s="523" t="str">
        <f>+'Plan estratégico 2021-2024'!C29</f>
        <v>Gestión presupuestal y eficiencia del gasto público.
Seguimiento y evaluación del desempeño institucional.</v>
      </c>
      <c r="E30" s="523" t="str">
        <f>+'Plan estratégico 2021-2024'!D29</f>
        <v>05 - Fortalecer la capacidad organizacional de Capital para ser una empresa transparente, eficiente y sostenible.</v>
      </c>
      <c r="F30" s="523" t="str">
        <f>+'Plan estratégico 2021-2024'!E29</f>
        <v>5.5. Fortalecimiento de la infraestructura física e interoperabilidad de Capital para la mejora de la gestión institucional.</v>
      </c>
      <c r="G30" s="523" t="str">
        <f>+'Plan estratégico 2021-2024'!F29</f>
        <v>Lograr el 98% de cumplimiento de los compromisos establecidos cada vigencia en materia de gestión de la subdirección administrativa.</v>
      </c>
      <c r="H30" s="523" t="str">
        <f>+'Plan estratégico 2021-2024'!G29</f>
        <v>Cumplimiento de las acciones para el funcionamiento adecuado de la Entidad</v>
      </c>
      <c r="I30" s="523" t="str">
        <f>+'Plan estratégico 2021-2024'!H29</f>
        <v>2 Eficiencia: (uso de los recursos)</v>
      </c>
      <c r="J30" s="520" t="str">
        <f>+'Plan estratégico 2021-2024'!I29</f>
        <v>5.5.1</v>
      </c>
      <c r="K30" s="520" t="str">
        <f>+'Plan estratégico 2021-2024'!J29</f>
        <v>Plan Estratégico de la Subdirección Administrativa para la vigencia.</v>
      </c>
      <c r="L30" s="520" t="str">
        <f t="shared" si="0"/>
        <v>5.5.1 Plan Estratégico de la Subdirección Administrativa para la vigencia.</v>
      </c>
      <c r="M30" s="520" t="str">
        <f>+'Plan estratégico 2021-2024'!K29</f>
        <v>Garantizar el correcto funcionamiento Administrativo de cada una de las áreas de la Subdirección Administrativo</v>
      </c>
      <c r="N30" s="520" t="str">
        <f>+'Plan estratégico 2021-2024'!L29</f>
        <v>Informe de Gestión Anual</v>
      </c>
      <c r="O30" s="518" t="str">
        <f>+'Plan estratégico 2021-2024'!M29</f>
        <v>Porcentaje de cumplimiento del plan de gestión anual de la Subdirección Administrativa 2021 - 2024</v>
      </c>
      <c r="P30" s="520" t="str">
        <f>+'Plan estratégico 2021-2024'!N29</f>
        <v>1 Eficacia: (cumplimiento de metas)</v>
      </c>
      <c r="Q30" s="520" t="str">
        <f>+'Plan estratégico 2021-2024'!O29</f>
        <v>Realizar seguimiento al cumplimiento del plan estratégico de la subdirección Administrativa 2021- 2024</v>
      </c>
      <c r="R30" s="518" t="str">
        <f>+'Plan estratégico 2021-2024'!P29</f>
        <v>Porcentaje de avance en la ejecución de actividades del plan estratégico de la subdirección administrativa / Porcentaje programado de cumplimiento del Plan Estratégico de la Subdirección Administrativa para la vigencia</v>
      </c>
      <c r="S30" s="522" t="s">
        <v>1091</v>
      </c>
      <c r="T30" s="522" t="s">
        <v>1092</v>
      </c>
      <c r="U30" s="520" t="str">
        <f>+'Plan estratégico 2021-2024'!Q29</f>
        <v>Porcentaje (%).</v>
      </c>
      <c r="V30" s="520" t="str">
        <f>+'Plan estratégico 2021-2024'!R29</f>
        <v>No aplica.</v>
      </c>
      <c r="W30" s="446">
        <f>+'Plan estratégico 2021-2024'!S29</f>
        <v>0.9</v>
      </c>
      <c r="X30" s="394">
        <f>+'Plan estratégico 2021-2024'!T29</f>
        <v>0.9</v>
      </c>
      <c r="Y30" s="394">
        <f>+'Plan estratégico 2021-2024'!U29</f>
        <v>0.9</v>
      </c>
      <c r="Z30" s="394">
        <f>+'Plan estratégico 2021-2024'!V29</f>
        <v>0.9</v>
      </c>
      <c r="AA30" s="395">
        <f>+'Plan estratégico 2021-2024'!W29</f>
        <v>2708599760</v>
      </c>
      <c r="AB30" s="395">
        <f>+'Plan estratégico 2021-2024'!X29</f>
        <v>2789857753</v>
      </c>
      <c r="AC30" s="395">
        <f>+'Plan estratégico 2021-2024'!Y29</f>
        <v>2873553485</v>
      </c>
      <c r="AD30" s="395">
        <f>+'Plan estratégico 2021-2024'!Z29</f>
        <v>2959760000</v>
      </c>
      <c r="AE30" s="520" t="str">
        <f>+'Plan estratégico 2021-2024'!AA29</f>
        <v xml:space="preserve">1. Planear (30%)
2  Ejecutar (40%)
3. Seguimiento (10%)
4.Analisis y mejoramiento (10%)
</v>
      </c>
      <c r="AF30" s="520" t="str">
        <f>+'Plan estratégico 2021-2024'!AB29</f>
        <v>Cumplimiento de las actividades planeadas del plan estratégico de la subdirección Administrativa</v>
      </c>
      <c r="AG30" s="520" t="str">
        <f>+'Plan estratégico 2021-2024'!AC29</f>
        <v>2 Eficiencia: (uso de los recursos)</v>
      </c>
      <c r="AH30" s="520" t="str">
        <f>+'Plan estratégico 2021-2024'!AD29</f>
        <v>Porcentaje (%)</v>
      </c>
      <c r="AI30" s="520" t="str">
        <f>+'Plan estratégico 2021-2024'!AE29</f>
        <v>Trimestral.</v>
      </c>
      <c r="AJ30" s="520" t="str">
        <f>+'Plan estratégico 2021-2024'!AF29</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0" s="520" t="str">
        <f>+'Plan estratégico 2021-2024'!AG29</f>
        <v>Subdirectora Administrativa</v>
      </c>
      <c r="AL30" s="520" t="str">
        <f>+'Plan estratégico 2021-2024'!AH29</f>
        <v>Subdirección administrativa</v>
      </c>
      <c r="AM30" s="695">
        <f>3/3</f>
        <v>1</v>
      </c>
      <c r="AN30" s="695"/>
      <c r="AO30" s="695"/>
      <c r="AP30" s="695">
        <f>4/4</f>
        <v>1</v>
      </c>
      <c r="AQ30" s="695"/>
      <c r="AR30" s="695"/>
      <c r="AS30" s="695">
        <f>6/6</f>
        <v>1</v>
      </c>
      <c r="AT30" s="695"/>
      <c r="AU30" s="695"/>
      <c r="AV30" s="695"/>
      <c r="AW30" s="695"/>
      <c r="AX30" s="695"/>
      <c r="AY30" s="307" t="str">
        <f t="shared" si="1"/>
        <v>5.5.1</v>
      </c>
      <c r="AZ30" s="522" t="s">
        <v>993</v>
      </c>
      <c r="BA30" s="522" t="s">
        <v>1218</v>
      </c>
      <c r="BB30" s="537" t="s">
        <v>1338</v>
      </c>
      <c r="BC30" s="411" t="s">
        <v>1006</v>
      </c>
      <c r="BE30" s="436" t="s">
        <v>1020</v>
      </c>
      <c r="BF30" s="436" t="s">
        <v>1036</v>
      </c>
      <c r="BG30" s="404" t="s">
        <v>1041</v>
      </c>
      <c r="BH30" s="436" t="s">
        <v>1023</v>
      </c>
    </row>
    <row r="31" spans="1:60" s="27" customFormat="1" ht="117" customHeight="1" x14ac:dyDescent="0.2">
      <c r="A31" s="307" t="str">
        <f>+'Plan estratégico 2021-2024'!I30</f>
        <v>5.5.2</v>
      </c>
      <c r="B31" s="523" t="str">
        <f>+'Plan estratégico 2021-2024'!A29</f>
        <v>11. Ciudades y comunidades sostenibles.
17. Alianzas para lograr los objetivos.</v>
      </c>
      <c r="C31" s="523" t="str">
        <f>+'Plan estratégico 2021-2024'!B29</f>
        <v>Propósito 5
Logro de ciudad: 29 - 30</v>
      </c>
      <c r="D31" s="523" t="str">
        <f>+'Plan estratégico 2021-2024'!C29</f>
        <v>Gestión presupuestal y eficiencia del gasto público.
Seguimiento y evaluación del desempeño institucional.</v>
      </c>
      <c r="E31" s="523" t="str">
        <f>+'Plan estratégico 2021-2024'!D29</f>
        <v>05 - Fortalecer la capacidad organizacional de Capital para ser una empresa transparente, eficiente y sostenible.</v>
      </c>
      <c r="F31" s="523" t="str">
        <f>+'Plan estratégico 2021-2024'!E29</f>
        <v>5.5. Fortalecimiento de la infraestructura física e interoperabilidad de Capital para la mejora de la gestión institucional.</v>
      </c>
      <c r="G31" s="523" t="str">
        <f>+'Plan estratégico 2021-2024'!F30</f>
        <v xml:space="preserve">Adquirir e implementar un (1) sistema de inventario acorde a las necesidades del Canal. </v>
      </c>
      <c r="H31" s="523" t="str">
        <f>+'Plan estratégico 2021-2024'!G30</f>
        <v xml:space="preserve">Sistema de inventario adquirido y 100% implementado. </v>
      </c>
      <c r="I31" s="523" t="str">
        <f>+'Plan estratégico 2021-2024'!H30</f>
        <v>1 Eficacia: (cumplimiento de metas)</v>
      </c>
      <c r="J31" s="520" t="str">
        <f>+'Plan estratégico 2021-2024'!I30</f>
        <v>5.5.2</v>
      </c>
      <c r="K31" s="520" t="str">
        <f>+'Plan estratégico 2021-2024'!J30</f>
        <v>Adquisición de un nuevo sistema de inventario.</v>
      </c>
      <c r="L31" s="520" t="str">
        <f t="shared" si="0"/>
        <v>5.5.2 Adquisición de un nuevo sistema de inventario.</v>
      </c>
      <c r="M31" s="520" t="str">
        <f>+'Plan estratégico 2021-2024'!K30</f>
        <v>Justificar la necesidad y realizar la adquisición de un sistema de inventarios confiable, que permita realizar reportes, estadísticas e informes, y que sea la única base de información de bienes del Canal entre el área administrativa y el área de contabilidad.</v>
      </c>
      <c r="N31" s="520" t="str">
        <f>+'Plan estratégico 2021-2024'!L30</f>
        <v>Para el 2021 estructurar el Estudio de Mercado, para realizar la adquisición del nuevo sistema de inventario y su posterior implementación.</v>
      </c>
      <c r="O31" s="518" t="str">
        <f>+'Plan estratégico 2021-2024'!M30</f>
        <v>Porcentaje de avance en la estructuración del estudio de mercado y posterior adquisición de un nuevo sistema de inventario.</v>
      </c>
      <c r="P31" s="520" t="str">
        <f>+'Plan estratégico 2021-2024'!N30</f>
        <v>1 Eficacia: (cumplimiento de metas)</v>
      </c>
      <c r="Q31" s="520" t="str">
        <f>+'Plan estratégico 2021-2024'!O30</f>
        <v>Medir la gestión que se realice para la asignación presupuestal para dar cabida a la adquisición de un nuevo sistema de inventario.</v>
      </c>
      <c r="R31" s="518" t="str">
        <f>+'Plan estratégico 2021-2024'!P30</f>
        <v>Porcentaje de avance en la estructuración del estudio de mercado y adquisición / Estudio de mercado y adquisición programados para ejecución</v>
      </c>
      <c r="S31" s="521" t="s">
        <v>1253</v>
      </c>
      <c r="T31" s="521" t="s">
        <v>1095</v>
      </c>
      <c r="U31" s="520" t="str">
        <f>+'Plan estratégico 2021-2024'!Q30</f>
        <v>Porcentaje (%).</v>
      </c>
      <c r="V31" s="520" t="str">
        <f>+'Plan estratégico 2021-2024'!R30</f>
        <v>No aplica.</v>
      </c>
      <c r="W31" s="446">
        <f>+'Plan estratégico 2021-2024'!S30</f>
        <v>0.1</v>
      </c>
      <c r="X31" s="394">
        <f>+'Plan estratégico 2021-2024'!T30</f>
        <v>0.5</v>
      </c>
      <c r="Y31" s="394">
        <f>+'Plan estratégico 2021-2024'!U30</f>
        <v>0.2</v>
      </c>
      <c r="Z31" s="394">
        <f>+'Plan estratégico 2021-2024'!V30</f>
        <v>0.2</v>
      </c>
      <c r="AA31" s="395">
        <f>+'Plan estratégico 2021-2024'!W30</f>
        <v>0</v>
      </c>
      <c r="AB31" s="395">
        <f>+'Plan estratégico 2021-2024'!X30</f>
        <v>40000000</v>
      </c>
      <c r="AC31" s="395">
        <f>+'Plan estratégico 2021-2024'!Y30</f>
        <v>10300000</v>
      </c>
      <c r="AD31" s="395">
        <f>+'Plan estratégico 2021-2024'!Z30</f>
        <v>10609000</v>
      </c>
      <c r="AE31" s="520" t="str">
        <f>+'Plan estratégico 2021-2024'!AA30</f>
        <v>* Estudio de Mercado 10%
* Presentación y Justificación del Proyecto 20%
* Adquisición nuevo sistema de inventarios 50%
*Implementación 20%</v>
      </c>
      <c r="AF31" s="520" t="str">
        <f>+'Plan estratégico 2021-2024'!AB30</f>
        <v>Avances Estudio de Mercado / Estudio de Mercado Aprobado</v>
      </c>
      <c r="AG31" s="520" t="str">
        <f>+'Plan estratégico 2021-2024'!AC30</f>
        <v>2 Eficiencia: (uso de los recursos)</v>
      </c>
      <c r="AH31" s="520" t="str">
        <f>+'Plan estratégico 2021-2024'!AD30</f>
        <v>Porcentaje (%)</v>
      </c>
      <c r="AI31" s="520" t="str">
        <f>+'Plan estratégico 2021-2024'!AE30</f>
        <v>Trimestral.</v>
      </c>
      <c r="AJ31" s="520" t="str">
        <f>+'Plan estratégico 2021-2024'!AF30</f>
        <v>Implementar un sistema eficiente para el control de inventarios, junto con herramientas que faciliten la toma física de los bienes con tecnología de código de barras. El desarrollo del proyecto dependerá de los recursos que se asignen al mismo.</v>
      </c>
      <c r="AK31" s="520" t="str">
        <f>+'Plan estratégico 2021-2024'!AG30</f>
        <v>Subdirectora Administrativa</v>
      </c>
      <c r="AL31" s="520" t="str">
        <f>+'Plan estratégico 2021-2024'!AH30</f>
        <v xml:space="preserve">Técnico de Servicio Administrativos </v>
      </c>
      <c r="AM31" s="695">
        <f>0.25/1</f>
        <v>0.25</v>
      </c>
      <c r="AN31" s="695"/>
      <c r="AO31" s="695"/>
      <c r="AP31" s="695">
        <f>0/1</f>
        <v>0</v>
      </c>
      <c r="AQ31" s="695"/>
      <c r="AR31" s="695"/>
      <c r="AS31" s="695">
        <f>0.25/1</f>
        <v>0.25</v>
      </c>
      <c r="AT31" s="695"/>
      <c r="AU31" s="695"/>
      <c r="AV31" s="695"/>
      <c r="AW31" s="695"/>
      <c r="AX31" s="695"/>
      <c r="AY31" s="307" t="str">
        <f t="shared" si="1"/>
        <v>5.5.2</v>
      </c>
      <c r="AZ31" s="522" t="s">
        <v>994</v>
      </c>
      <c r="BA31" s="522" t="s">
        <v>1219</v>
      </c>
      <c r="BB31" s="537" t="s">
        <v>1339</v>
      </c>
      <c r="BC31" s="411" t="s">
        <v>1004</v>
      </c>
      <c r="BE31" s="436" t="s">
        <v>1042</v>
      </c>
      <c r="BF31" s="436" t="s">
        <v>1035</v>
      </c>
      <c r="BG31" s="436" t="s">
        <v>1041</v>
      </c>
      <c r="BH31" s="436" t="s">
        <v>1023</v>
      </c>
    </row>
    <row r="32" spans="1:60" s="27" customFormat="1" ht="120" customHeight="1" x14ac:dyDescent="0.2">
      <c r="A32" s="307" t="str">
        <f>+'Plan estratégico 2021-2024'!I31</f>
        <v>5.5.3</v>
      </c>
      <c r="B32" s="523" t="str">
        <f>+'Plan estratégico 2021-2024'!A29</f>
        <v>11. Ciudades y comunidades sostenibles.
17. Alianzas para lograr los objetivos.</v>
      </c>
      <c r="C32" s="523" t="str">
        <f>+'Plan estratégico 2021-2024'!B29</f>
        <v>Propósito 5
Logro de ciudad: 29 - 30</v>
      </c>
      <c r="D32" s="523" t="str">
        <f>+'Plan estratégico 2021-2024'!C29</f>
        <v>Gestión presupuestal y eficiencia del gasto público.
Seguimiento y evaluación del desempeño institucional.</v>
      </c>
      <c r="E32" s="523" t="str">
        <f>+'Plan estratégico 2021-2024'!D29</f>
        <v>05 - Fortalecer la capacidad organizacional de Capital para ser una empresa transparente, eficiente y sostenible.</v>
      </c>
      <c r="F32" s="523" t="str">
        <f>+'Plan estratégico 2021-2024'!E29</f>
        <v>5.5. Fortalecimiento de la infraestructura física e interoperabilidad de Capital para la mejora de la gestión institucional.</v>
      </c>
      <c r="G32" s="523" t="str">
        <f>+'Plan estratégico 2021-2024'!F31</f>
        <v>Llevar a cabo el 100% de las adecuaciones de la casa de la 69.</v>
      </c>
      <c r="H32" s="523" t="str">
        <f>+'Plan estratégico 2021-2024'!G31</f>
        <v>Intervenciones a la casa de la 69 realizadas / Intervenciones a la casa de la 69 realizadas</v>
      </c>
      <c r="I32" s="523" t="str">
        <f>+'Plan estratégico 2021-2024'!H31</f>
        <v>1 Eficacia: (cumplimiento de metas)</v>
      </c>
      <c r="J32" s="520" t="str">
        <f>+'Plan estratégico 2021-2024'!I31</f>
        <v>5.5.3</v>
      </c>
      <c r="K32" s="520" t="str">
        <f>+'Plan estratégico 2021-2024'!J31</f>
        <v>Intervenciones iniciales de adecuación de la casa de la 69 respecto a la planificación establecida por el área.</v>
      </c>
      <c r="L32" s="520" t="str">
        <f t="shared" si="0"/>
        <v>5.5.3 Intervenciones iniciales de adecuación de la casa de la 69 respecto a la planificación establecida por el área.</v>
      </c>
      <c r="M32" s="520" t="str">
        <f>+'Plan estratégico 2021-2024'!K31</f>
        <v>Mantener en óptimas condiciones las instalaciones, dado que este bien es catalogado como un bien de Patrimonio Cultural.</v>
      </c>
      <c r="N32" s="520" t="str">
        <f>+'Plan estratégico 2021-2024'!L31</f>
        <v>Adecuaciones de la casa de la 69, en los siguientes aspectos: 
Herrajes de ventanería y puertas.
Ventanas 
Paredes</v>
      </c>
      <c r="O32" s="518" t="str">
        <f>+'Plan estratégico 2021-2024'!M31</f>
        <v xml:space="preserve">Porcentaje de avances en las Intervenciones realizadas en el bien. </v>
      </c>
      <c r="P32" s="518" t="str">
        <f>+'Plan estratégico 2021-2024'!N31</f>
        <v>1 Eficacia: (cumplimiento de metas)</v>
      </c>
      <c r="Q32" s="518" t="str">
        <f>+'Plan estratégico 2021-2024'!O31</f>
        <v>Con este indicador se pretende medir el avance en el cumplimiento de las intervenciones realizadas a la casa de acuerdo con la disponibilidad presupuestal y la programación establecida.</v>
      </c>
      <c r="R32" s="518" t="str">
        <f>+'Plan estratégico 2021-2024'!P31</f>
        <v>(Número de intervenciones realizadas / Número de Intervenciones Programadas)*100%</v>
      </c>
      <c r="S32" s="522" t="s">
        <v>887</v>
      </c>
      <c r="T32" s="522" t="s">
        <v>886</v>
      </c>
      <c r="U32" s="520" t="str">
        <f>+'Plan estratégico 2021-2024'!Q31</f>
        <v>Porcentaje (%).</v>
      </c>
      <c r="V32" s="520" t="str">
        <f>+'Plan estratégico 2021-2024'!R31</f>
        <v>No aplica.</v>
      </c>
      <c r="W32" s="446">
        <f>+'Plan estratégico 2021-2024'!S31</f>
        <v>0.3</v>
      </c>
      <c r="X32" s="394">
        <f>+'Plan estratégico 2021-2024'!T31</f>
        <v>0.3</v>
      </c>
      <c r="Y32" s="394">
        <f>+'Plan estratégico 2021-2024'!U31</f>
        <v>0.2</v>
      </c>
      <c r="Z32" s="394">
        <f>+'Plan estratégico 2021-2024'!V31</f>
        <v>0.2</v>
      </c>
      <c r="AA32" s="395">
        <f>+'Plan estratégico 2021-2024'!W31</f>
        <v>30000000</v>
      </c>
      <c r="AB32" s="395">
        <f>+'Plan estratégico 2021-2024'!X31</f>
        <v>30900000</v>
      </c>
      <c r="AC32" s="395">
        <f>+'Plan estratégico 2021-2024'!Y31</f>
        <v>21200000</v>
      </c>
      <c r="AD32" s="395">
        <f>+'Plan estratégico 2021-2024'!Z31</f>
        <v>21836000</v>
      </c>
      <c r="AE32" s="520" t="str">
        <f>+'Plan estratégico 2021-2024'!AA31</f>
        <v>Adecuación de portería de la casa de la 69.  50%
Instalación de herrajes. 10%
Compra e instalación de vidrios. 10%
Pintura y mantenimiento de la casa. 20%</v>
      </c>
      <c r="AF32" s="520" t="str">
        <f>+'Plan estratégico 2021-2024'!AB31</f>
        <v>Número de intervenciones realizadas / Número de Intervenciones Programadas.</v>
      </c>
      <c r="AG32" s="520" t="str">
        <f>+'Plan estratégico 2021-2024'!AC31</f>
        <v>2 Eficiencia: (uso de los recursos)</v>
      </c>
      <c r="AH32" s="520" t="str">
        <f>+'Plan estratégico 2021-2024'!AD31</f>
        <v>Porcentaje (%)</v>
      </c>
      <c r="AI32" s="520" t="str">
        <f>+'Plan estratégico 2021-2024'!AE31</f>
        <v>Trimestral.</v>
      </c>
      <c r="AJ32" s="520" t="str">
        <f>+'Plan estratégico 2021-2024'!AF31</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2" s="520" t="str">
        <f>+'Plan estratégico 2021-2024'!AG31</f>
        <v>Subdirectora Administrativa</v>
      </c>
      <c r="AL32" s="520" t="str">
        <f>+'Plan estratégico 2021-2024'!AH31</f>
        <v xml:space="preserve">Técnico de Servicio Administrativos </v>
      </c>
      <c r="AM32" s="696">
        <f>2/4</f>
        <v>0.5</v>
      </c>
      <c r="AN32" s="696"/>
      <c r="AO32" s="696"/>
      <c r="AP32" s="696">
        <f>1/4</f>
        <v>0.25</v>
      </c>
      <c r="AQ32" s="696"/>
      <c r="AR32" s="696"/>
      <c r="AS32" s="696">
        <f>0.15/1</f>
        <v>0.15</v>
      </c>
      <c r="AT32" s="696"/>
      <c r="AU32" s="696"/>
      <c r="AV32" s="399"/>
      <c r="AW32" s="405"/>
      <c r="AX32" s="405"/>
      <c r="AY32" s="307" t="str">
        <f t="shared" si="1"/>
        <v>5.5.3</v>
      </c>
      <c r="AZ32" s="522" t="s">
        <v>1254</v>
      </c>
      <c r="BA32" s="522" t="s">
        <v>1220</v>
      </c>
      <c r="BB32" s="537" t="s">
        <v>1340</v>
      </c>
      <c r="BC32" s="411" t="s">
        <v>1005</v>
      </c>
      <c r="BE32" s="436" t="s">
        <v>1043</v>
      </c>
      <c r="BF32" s="436" t="s">
        <v>1036</v>
      </c>
      <c r="BG32" s="404" t="s">
        <v>1044</v>
      </c>
      <c r="BH32" s="436" t="s">
        <v>1023</v>
      </c>
    </row>
    <row r="33" spans="1:60" s="27" customFormat="1" ht="234" customHeight="1" x14ac:dyDescent="0.2">
      <c r="A33" s="307" t="str">
        <f>+'Plan estratégico 2021-2024'!I32</f>
        <v>3.2.1</v>
      </c>
      <c r="B33" s="523" t="str">
        <f>+'Plan estratégico 2021-2024'!A32</f>
        <v>9. Industria, innovación e infraestructura.
16. Paz, justicia e instituciones sólidas.</v>
      </c>
      <c r="C33" s="523" t="str">
        <f>+'Plan estratégico 2021-2024'!B32</f>
        <v>Propósito 1
Logro de ciudad: 5
Propósito 5
Logro de ciudad: 29 - 30</v>
      </c>
      <c r="D33" s="523" t="str">
        <f>+'Plan estratégico 2021-2024'!C32</f>
        <v>Gobierno Digital.
Seguridad Digital.</v>
      </c>
      <c r="E33" s="523" t="str">
        <f>+'Plan estratégico 2021-2024'!D32</f>
        <v>03 - Generar una cultura digital y de gestión del conocimiento para la optimización de los procesos internos y externos.</v>
      </c>
      <c r="F33" s="523" t="str">
        <f>+'Plan estratégico 2021-2024'!E32</f>
        <v>3.2. Fortalecimiento de los servicios de tecnológicos, misionales y administrativos de Capital, bajo criterios de seguridad y privacidad de la información.</v>
      </c>
      <c r="G33" s="523"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3" s="523" t="str">
        <f>+'Plan estratégico 2021-2024'!G32</f>
        <v>Promedio de implementación de resultados del Plan Estratégico de Tecnologías de la Información - PETI 2021 - 2024para las vigencias de medición.</v>
      </c>
      <c r="I33" s="523" t="str">
        <f>+'Plan estratégico 2021-2024'!H32</f>
        <v>2 Eficiencia: (uso de los recursos)</v>
      </c>
      <c r="J33" s="520" t="str">
        <f>+'Plan estratégico 2021-2024'!I32</f>
        <v>3.2.1</v>
      </c>
      <c r="K33" s="520" t="str">
        <f>+'Plan estratégico 2021-2024'!J32</f>
        <v>Plan Estratégico de Tecnologías de la Información - PETI 2021</v>
      </c>
      <c r="L33" s="520" t="str">
        <f t="shared" si="0"/>
        <v>3.2.1 Plan Estratégico de Tecnologías de la Información - PETI 2021</v>
      </c>
      <c r="M33" s="520" t="str">
        <f>+'Plan estratégico 2021-2024'!K32</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3" s="520" t="str">
        <f>+'Plan estratégico 2021-2024'!L32</f>
        <v>Ejecutar el mapa de Ruta del PETI a partir del compendio de Proyectos de Tecnología de la entidad.</v>
      </c>
      <c r="O33" s="520" t="str">
        <f>+'Plan estratégico 2021-2024'!M32</f>
        <v>Cumplimiento de actividades del PETI</v>
      </c>
      <c r="P33" s="520" t="str">
        <f>+'Plan estratégico 2021-2024'!N32</f>
        <v>2 Eficiencia: (uso de los recursos)</v>
      </c>
      <c r="Q33" s="520" t="str">
        <f>+'Plan estratégico 2021-2024'!O32</f>
        <v>Realizar el seguimiento al cumplimiento de las actividades programadas en el Plan Estratégico de tecnologías de la información - PETI</v>
      </c>
      <c r="R33" s="520" t="str">
        <f>+'Plan estratégico 2021-2024'!P32</f>
        <v>(Porcentaje de avances en el cumplimiento de las acciones programadas en el Estratégico de tecnologías de la información - PETI / Porcentaje programado de cumplimiento del Plan Estratégico de de tecnologías de la información - PETI para la vigencia)*100%.</v>
      </c>
      <c r="S33" s="523" t="s">
        <v>890</v>
      </c>
      <c r="T33" s="523" t="s">
        <v>891</v>
      </c>
      <c r="U33" s="520" t="str">
        <f>+'Plan estratégico 2021-2024'!Q32</f>
        <v>Porcentaje (%).</v>
      </c>
      <c r="V33" s="394">
        <f>+'Plan estratégico 2021-2024'!R32</f>
        <v>0.69</v>
      </c>
      <c r="W33" s="446">
        <f>+'Plan estratégico 2021-2024'!S32</f>
        <v>0.9</v>
      </c>
      <c r="X33" s="394">
        <f>+'Plan estratégico 2021-2024'!T32</f>
        <v>0.9</v>
      </c>
      <c r="Y33" s="394">
        <f>+'Plan estratégico 2021-2024'!U32</f>
        <v>0.9</v>
      </c>
      <c r="Z33" s="394">
        <f>+'Plan estratégico 2021-2024'!V32</f>
        <v>0.9</v>
      </c>
      <c r="AA33" s="395">
        <f>+'Plan estratégico 2021-2024'!W32</f>
        <v>412200000</v>
      </c>
      <c r="AB33" s="395">
        <f>+'Plan estratégico 2021-2024'!X32</f>
        <v>212000000</v>
      </c>
      <c r="AC33" s="395">
        <f>+'Plan estratégico 2021-2024'!Y32</f>
        <v>80000000</v>
      </c>
      <c r="AD33" s="395">
        <f>+'Plan estratégico 2021-2024'!Z32</f>
        <v>0</v>
      </c>
      <c r="AE33" s="520" t="str">
        <f>+'Plan estratégico 2021-2024'!AA32</f>
        <v>1. Planificación (20%)
2. Ejecución (80%)
3. Seguimiento al cumplimiento
4. Análisis y mejoramiento</v>
      </c>
      <c r="AF33" s="520" t="str">
        <f>+'Plan estratégico 2021-2024'!AB32</f>
        <v>PETIC 2021-2024 ejecutado</v>
      </c>
      <c r="AG33" s="520" t="str">
        <f>+'Plan estratégico 2021-2024'!AC32</f>
        <v>2 Eficiencia: (uso de los recursos)</v>
      </c>
      <c r="AH33" s="520" t="str">
        <f>+'Plan estratégico 2021-2024'!AD32</f>
        <v>Porcentaje (%)</v>
      </c>
      <c r="AI33" s="520" t="str">
        <f>+'Plan estratégico 2021-2024'!AE32</f>
        <v>Trimestral.</v>
      </c>
      <c r="AJ33" s="520" t="str">
        <f>+'Plan estratégico 2021-2024'!AF32</f>
        <v>Derivado del presupuesto de inversión para el Fortalecimiento de la capacidad administrativa y tecnológica para la gestión institucional de Capital</v>
      </c>
      <c r="AK33" s="520" t="str">
        <f>+'Plan estratégico 2021-2024'!AG32</f>
        <v>Subdirectora Administrativa</v>
      </c>
      <c r="AL33" s="520" t="str">
        <f>+'Plan estratégico 2021-2024'!AH32</f>
        <v>Profesional de Sistemas</v>
      </c>
      <c r="AM33" s="696">
        <f>20/90</f>
        <v>0.22222222222222221</v>
      </c>
      <c r="AN33" s="696"/>
      <c r="AO33" s="696"/>
      <c r="AP33" s="696">
        <f>50/90</f>
        <v>0.55555555555555558</v>
      </c>
      <c r="AQ33" s="696"/>
      <c r="AR33" s="696"/>
      <c r="AS33" s="696">
        <f>70/90</f>
        <v>0.77777777777777779</v>
      </c>
      <c r="AT33" s="696"/>
      <c r="AU33" s="696"/>
      <c r="AV33" s="406"/>
      <c r="AW33" s="406"/>
      <c r="AX33" s="406"/>
      <c r="AY33" s="307" t="str">
        <f t="shared" si="1"/>
        <v>3.2.1</v>
      </c>
      <c r="AZ33" s="522" t="s">
        <v>1255</v>
      </c>
      <c r="BA33" s="522" t="s">
        <v>1256</v>
      </c>
      <c r="BB33" s="537" t="s">
        <v>1346</v>
      </c>
      <c r="BC33" s="411" t="s">
        <v>1005</v>
      </c>
      <c r="BE33" s="436" t="s">
        <v>1046</v>
      </c>
      <c r="BF33" s="404" t="s">
        <v>1048</v>
      </c>
      <c r="BG33" s="404" t="s">
        <v>1049</v>
      </c>
      <c r="BH33" s="436" t="s">
        <v>1023</v>
      </c>
    </row>
    <row r="34" spans="1:60" s="27" customFormat="1" ht="181.5" customHeight="1" x14ac:dyDescent="0.2">
      <c r="A34" s="307" t="str">
        <f>+'Plan estratégico 2021-2024'!I33</f>
        <v>3.2.2</v>
      </c>
      <c r="B34" s="523" t="str">
        <f>+'Plan estratégico 2021-2024'!A32</f>
        <v>9. Industria, innovación e infraestructura.
16. Paz, justicia e instituciones sólidas.</v>
      </c>
      <c r="C34" s="523" t="str">
        <f>+'Plan estratégico 2021-2024'!B32</f>
        <v>Propósito 1
Logro de ciudad: 5
Propósito 5
Logro de ciudad: 29 - 30</v>
      </c>
      <c r="D34" s="523" t="str">
        <f>+'Plan estratégico 2021-2024'!C32</f>
        <v>Gobierno Digital.
Seguridad Digital.</v>
      </c>
      <c r="E34" s="523" t="str">
        <f>+'Plan estratégico 2021-2024'!D32</f>
        <v>03 - Generar una cultura digital y de gestión del conocimiento para la optimización de los procesos internos y externos.</v>
      </c>
      <c r="F34" s="523" t="str">
        <f>+'Plan estratégico 2021-2024'!E32</f>
        <v>3.2. Fortalecimiento de los servicios de tecnológicos, misionales y administrativos de Capital, bajo criterios de seguridad y privacidad de la información.</v>
      </c>
      <c r="G34" s="523"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4" s="523" t="str">
        <f>+'Plan estratégico 2021-2024'!G33</f>
        <v>Promedio de implementación de resultados del Plan de Seguridad y Privacidad de la Información para las vigencias de medición.</v>
      </c>
      <c r="I34" s="523" t="str">
        <f>+'Plan estratégico 2021-2024'!H33</f>
        <v>2 Eficiencia: (uso de los recursos)</v>
      </c>
      <c r="J34" s="520" t="str">
        <f>+'Plan estratégico 2021-2024'!I33</f>
        <v>3.2.2</v>
      </c>
      <c r="K34" s="520" t="str">
        <f>+'Plan estratégico 2021-2024'!J33</f>
        <v>Plan de Seguridad y Privacidad de la Información</v>
      </c>
      <c r="L34" s="520" t="str">
        <f t="shared" si="0"/>
        <v>3.2.2 Plan de Seguridad y Privacidad de la Información</v>
      </c>
      <c r="M34" s="520" t="str">
        <f>+'Plan estratégico 2021-2024'!K33</f>
        <v>Fortalecer la plataforma tecnológica de la Entidad (Hardware y Software), manteniendo un esquema de alta disponibilidad y seguridad. (Anexo 8).</v>
      </c>
      <c r="N34" s="520" t="str">
        <f>+'Plan estratégico 2021-2024'!L33</f>
        <v>Ejecutar el mapa de Ruta del PETI a partir del compendio de Proyectos de Tecnología de la entidad.</v>
      </c>
      <c r="O34" s="520" t="str">
        <f>+'Plan estratégico 2021-2024'!M33</f>
        <v>Cumplimiento de actividades del Plan de seguridad y privacidad de la información</v>
      </c>
      <c r="P34" s="520" t="str">
        <f>+'Plan estratégico 2021-2024'!N33</f>
        <v>2 Eficiencia: (uso de los recursos)</v>
      </c>
      <c r="Q34" s="520" t="str">
        <f>+'Plan estratégico 2021-2024'!O33</f>
        <v>Realizar el seguimiento al cumplimiento de las actividades programadas en el Plan de seguridad y privacidad de la información</v>
      </c>
      <c r="R34" s="520" t="str">
        <f>+'Plan estratégico 2021-2024'!P33</f>
        <v>(Porcentaje de avances en el cumplimiento de las acciones programadas en el Plan de seguridad y privacidad de la información / Porcentaje programado de cumplimiento del Plan de seguridad y privacidad de la información para la vigencia)*100%.</v>
      </c>
      <c r="S34" s="523" t="s">
        <v>889</v>
      </c>
      <c r="T34" s="523" t="s">
        <v>888</v>
      </c>
      <c r="U34" s="520" t="str">
        <f>+'Plan estratégico 2021-2024'!Q33</f>
        <v>Porcentaje (%).</v>
      </c>
      <c r="V34" s="520" t="str">
        <f>+'Plan estratégico 2021-2024'!R33</f>
        <v>No aplica.</v>
      </c>
      <c r="W34" s="446">
        <f>+'Plan estratégico 2021-2024'!S33</f>
        <v>0.9</v>
      </c>
      <c r="X34" s="394">
        <f>+'Plan estratégico 2021-2024'!T33</f>
        <v>0.9</v>
      </c>
      <c r="Y34" s="394">
        <f>+'Plan estratégico 2021-2024'!U33</f>
        <v>0.9</v>
      </c>
      <c r="Z34" s="394">
        <f>+'Plan estratégico 2021-2024'!V33</f>
        <v>0.9</v>
      </c>
      <c r="AA34" s="395">
        <f>+'Plan estratégico 2021-2024'!W33</f>
        <v>330960000</v>
      </c>
      <c r="AB34" s="395">
        <f>+'Plan estratégico 2021-2024'!X33</f>
        <v>230038800</v>
      </c>
      <c r="AC34" s="395">
        <f>+'Plan estratégico 2021-2024'!Y33</f>
        <v>234239964</v>
      </c>
      <c r="AD34" s="395">
        <f>+'Plan estratégico 2021-2024'!Z33</f>
        <v>148567162.91999999</v>
      </c>
      <c r="AE34" s="520" t="str">
        <f>+'Plan estratégico 2021-2024'!AA33</f>
        <v>1. Planificación (20%)
2. Ejecución (80%)
3. Seguimiento al cumplimiento
4. Análisis y mejoramiento</v>
      </c>
      <c r="AF34" s="520" t="str">
        <f>+'Plan estratégico 2021-2024'!AB33</f>
        <v>Plan de seguridad y privacidad de la información implementado</v>
      </c>
      <c r="AG34" s="520" t="str">
        <f>+'Plan estratégico 2021-2024'!AC33</f>
        <v>2 Eficiencia: (uso de los recursos)</v>
      </c>
      <c r="AH34" s="520" t="str">
        <f>+'Plan estratégico 2021-2024'!AD33</f>
        <v>Porcentaje (%)</v>
      </c>
      <c r="AI34" s="520" t="str">
        <f>+'Plan estratégico 2021-2024'!AE33</f>
        <v>Trimestral.</v>
      </c>
      <c r="AJ34" s="520" t="str">
        <f>+'Plan estratégico 2021-2024'!AF33</f>
        <v>Derivado del presupuesto de inversión para el Fortalecimiento de la capacidad administrativa y tecnológica para la gestión institucional de Capital</v>
      </c>
      <c r="AK34" s="520" t="str">
        <f>+'Plan estratégico 2021-2024'!AG33</f>
        <v>Subdirectora Administrativa</v>
      </c>
      <c r="AL34" s="520" t="str">
        <f>+'Plan estratégico 2021-2024'!AH33</f>
        <v>Profesional de Sistemas</v>
      </c>
      <c r="AM34" s="696">
        <f>20/90</f>
        <v>0.22222222222222221</v>
      </c>
      <c r="AN34" s="696"/>
      <c r="AO34" s="696"/>
      <c r="AP34" s="696">
        <f>40/90</f>
        <v>0.44444444444444442</v>
      </c>
      <c r="AQ34" s="696"/>
      <c r="AR34" s="696"/>
      <c r="AS34" s="696">
        <f>70/90</f>
        <v>0.77777777777777779</v>
      </c>
      <c r="AT34" s="696"/>
      <c r="AU34" s="696"/>
      <c r="AV34" s="406"/>
      <c r="AW34" s="406"/>
      <c r="AX34" s="406"/>
      <c r="AY34" s="307" t="str">
        <f t="shared" si="1"/>
        <v>3.2.2</v>
      </c>
      <c r="AZ34" s="522" t="s">
        <v>995</v>
      </c>
      <c r="BA34" s="522" t="s">
        <v>1221</v>
      </c>
      <c r="BB34" s="537" t="s">
        <v>1347</v>
      </c>
      <c r="BC34" s="411" t="s">
        <v>1005</v>
      </c>
      <c r="BE34" s="436" t="s">
        <v>1047</v>
      </c>
      <c r="BF34" s="436" t="s">
        <v>1050</v>
      </c>
      <c r="BG34" s="436" t="s">
        <v>1049</v>
      </c>
      <c r="BH34" s="436" t="s">
        <v>1023</v>
      </c>
    </row>
    <row r="35" spans="1:60" s="27" customFormat="1" ht="159.75" customHeight="1" x14ac:dyDescent="0.2">
      <c r="A35" s="307" t="str">
        <f>+'Plan estratégico 2021-2024'!I34</f>
        <v>3.2.3</v>
      </c>
      <c r="B35" s="523" t="str">
        <f>+'Plan estratégico 2021-2024'!A32</f>
        <v>9. Industria, innovación e infraestructura.
16. Paz, justicia e instituciones sólidas.</v>
      </c>
      <c r="C35" s="523" t="str">
        <f>+'Plan estratégico 2021-2024'!B32</f>
        <v>Propósito 1
Logro de ciudad: 5
Propósito 5
Logro de ciudad: 29 - 30</v>
      </c>
      <c r="D35" s="523" t="str">
        <f>+'Plan estratégico 2021-2024'!C32</f>
        <v>Gobierno Digital.
Seguridad Digital.</v>
      </c>
      <c r="E35" s="523" t="str">
        <f>+'Plan estratégico 2021-2024'!D32</f>
        <v>03 - Generar una cultura digital y de gestión del conocimiento para la optimización de los procesos internos y externos.</v>
      </c>
      <c r="F35" s="523" t="str">
        <f>+'Plan estratégico 2021-2024'!E32</f>
        <v>3.2. Fortalecimiento de los servicios de tecnológicos, misionales y administrativos de Capital, bajo criterios de seguridad y privacidad de la información.</v>
      </c>
      <c r="G35" s="523"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523" t="str">
        <f>+'Plan estratégico 2021-2024'!G34</f>
        <v>Promedio de implementación de resultados del Plan de tratamiento de riesgos de seguridad y privacidad de la información para las vigencias de medición.</v>
      </c>
      <c r="I35" s="523" t="str">
        <f>+'Plan estratégico 2021-2024'!H34</f>
        <v>2 Eficiencia: (uso de los recursos)</v>
      </c>
      <c r="J35" s="520" t="str">
        <f>+'Plan estratégico 2021-2024'!I34</f>
        <v>3.2.3</v>
      </c>
      <c r="K35" s="520" t="str">
        <f>+'Plan estratégico 2021-2024'!J34</f>
        <v>Plan de tratamiento de riesgos de seguridad y privacidad de la información.</v>
      </c>
      <c r="L35" s="520" t="str">
        <f t="shared" si="0"/>
        <v>3.2.3 Plan de tratamiento de riesgos de seguridad y privacidad de la información.</v>
      </c>
      <c r="M35" s="520" t="str">
        <f>+'Plan estratégico 2021-2024'!K34</f>
        <v>Fortalecer la plataforma tecnológica de la Entidad (Hardware y Software), manteniendo un esquema de alta disponibilidad y seguridad. (Anexo 9).</v>
      </c>
      <c r="N35" s="520" t="str">
        <f>+'Plan estratégico 2021-2024'!L34</f>
        <v>Ejecutar el mapa de Ruta del PETI a partir del compendio de Proyectos de Tecnología de la entidad.</v>
      </c>
      <c r="O35" s="520" t="str">
        <f>+'Plan estratégico 2021-2024'!M34</f>
        <v>Cumplimiento de actividades del Plan de tratamiento de riesgos de seguridad y privacidad de la información</v>
      </c>
      <c r="P35" s="520" t="str">
        <f>+'Plan estratégico 2021-2024'!N34</f>
        <v>2 Eficiencia: (uso de los recursos)</v>
      </c>
      <c r="Q35" s="520" t="str">
        <f>+'Plan estratégico 2021-2024'!O34</f>
        <v>Realizar el seguimiento al cumplimiento de las actividades programadas en el Plan de tratamiento de riesgos de seguridad y privacidad de la información</v>
      </c>
      <c r="R35" s="520" t="str">
        <f>+'Plan estratégico 2021-2024'!P34</f>
        <v>(Porcentaje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v>
      </c>
      <c r="S35" s="523" t="s">
        <v>892</v>
      </c>
      <c r="T35" s="523" t="s">
        <v>893</v>
      </c>
      <c r="U35" s="520" t="str">
        <f>+'Plan estratégico 2021-2024'!Q34</f>
        <v>Porcentaje (%).</v>
      </c>
      <c r="V35" s="520" t="str">
        <f>+'Plan estratégico 2021-2024'!R34</f>
        <v>No aplica.</v>
      </c>
      <c r="W35" s="446">
        <f>+'Plan estratégico 2021-2024'!S34</f>
        <v>0.9</v>
      </c>
      <c r="X35" s="394">
        <f>+'Plan estratégico 2021-2024'!T34</f>
        <v>0.9</v>
      </c>
      <c r="Y35" s="394">
        <f>+'Plan estratégico 2021-2024'!U34</f>
        <v>0.9</v>
      </c>
      <c r="Z35" s="394">
        <f>+'Plan estratégico 2021-2024'!V34</f>
        <v>0.9</v>
      </c>
      <c r="AA35" s="395">
        <f>+'Plan estratégico 2021-2024'!W34</f>
        <v>0</v>
      </c>
      <c r="AB35" s="395">
        <f>+'Plan estratégico 2021-2024'!X34</f>
        <v>0</v>
      </c>
      <c r="AC35" s="395">
        <f>+'Plan estratégico 2021-2024'!Y34</f>
        <v>0</v>
      </c>
      <c r="AD35" s="395">
        <f>+'Plan estratégico 2021-2024'!Z34</f>
        <v>0</v>
      </c>
      <c r="AE35" s="520" t="str">
        <f>+'Plan estratégico 2021-2024'!AA34</f>
        <v>1. Planificación (20%)
2. Ejecución (80%)
3. Seguimiento al cumplimiento
4. Análisis y mejoramiento</v>
      </c>
      <c r="AF35" s="520" t="str">
        <f>+'Plan estratégico 2021-2024'!AB34</f>
        <v>Plan de tratamiento de riesgos de seguridad y privacidad de la información implementado</v>
      </c>
      <c r="AG35" s="520" t="str">
        <f>+'Plan estratégico 2021-2024'!AC34</f>
        <v>2 Eficiencia: (uso de los recursos)</v>
      </c>
      <c r="AH35" s="520" t="str">
        <f>+'Plan estratégico 2021-2024'!AD34</f>
        <v>Porcentaje (%)</v>
      </c>
      <c r="AI35" s="520" t="str">
        <f>+'Plan estratégico 2021-2024'!AE34</f>
        <v>Trimestral.</v>
      </c>
      <c r="AJ35" s="520" t="str">
        <f>+'Plan estratégico 2021-2024'!AF34</f>
        <v>Derivado del presupuesto de inversión para el Fortalecimiento de la capacidad administrativa y tecnológica para la gestión institucional de Capital</v>
      </c>
      <c r="AK35" s="520" t="str">
        <f>+'Plan estratégico 2021-2024'!AG34</f>
        <v>Subdirectora Administrativa</v>
      </c>
      <c r="AL35" s="520" t="str">
        <f>+'Plan estratégico 2021-2024'!AH34</f>
        <v>Profesional de Sistemas</v>
      </c>
      <c r="AM35" s="696">
        <f>20/90</f>
        <v>0.22222222222222221</v>
      </c>
      <c r="AN35" s="696"/>
      <c r="AO35" s="696"/>
      <c r="AP35" s="696">
        <f>30/90</f>
        <v>0.33333333333333331</v>
      </c>
      <c r="AQ35" s="696"/>
      <c r="AR35" s="696"/>
      <c r="AS35" s="696">
        <f>60/90</f>
        <v>0.66666666666666663</v>
      </c>
      <c r="AT35" s="696"/>
      <c r="AU35" s="696"/>
      <c r="AV35" s="406"/>
      <c r="AW35" s="406"/>
      <c r="AX35" s="406"/>
      <c r="AY35" s="307" t="str">
        <f t="shared" si="1"/>
        <v>3.2.3</v>
      </c>
      <c r="AZ35" s="522" t="s">
        <v>996</v>
      </c>
      <c r="BA35" s="522" t="s">
        <v>1222</v>
      </c>
      <c r="BB35" s="537" t="s">
        <v>1348</v>
      </c>
      <c r="BC35" s="411" t="s">
        <v>1005</v>
      </c>
      <c r="BE35" s="436" t="s">
        <v>1047</v>
      </c>
      <c r="BF35" s="436" t="s">
        <v>1050</v>
      </c>
      <c r="BG35" s="436" t="s">
        <v>1051</v>
      </c>
      <c r="BH35" s="436" t="s">
        <v>1023</v>
      </c>
    </row>
    <row r="36" spans="1:60" s="27" customFormat="1" ht="251.25" customHeight="1" x14ac:dyDescent="0.2">
      <c r="A36" s="307" t="str">
        <f>+'Plan estratégico 2021-2024'!I35</f>
        <v>3.2.4</v>
      </c>
      <c r="B36" s="523" t="str">
        <f>+'Plan estratégico 2021-2024'!A32</f>
        <v>9. Industria, innovación e infraestructura.
16. Paz, justicia e instituciones sólidas.</v>
      </c>
      <c r="C36" s="523" t="str">
        <f>+'Plan estratégico 2021-2024'!B32</f>
        <v>Propósito 1
Logro de ciudad: 5
Propósito 5
Logro de ciudad: 29 - 30</v>
      </c>
      <c r="D36" s="523" t="str">
        <f>+'Plan estratégico 2021-2024'!C32</f>
        <v>Gobierno Digital.
Seguridad Digital.</v>
      </c>
      <c r="E36" s="523" t="str">
        <f>+'Plan estratégico 2021-2024'!D32</f>
        <v>03 - Generar una cultura digital y de gestión del conocimiento para la optimización de los procesos internos y externos.</v>
      </c>
      <c r="F36" s="523" t="str">
        <f>+'Plan estratégico 2021-2024'!E32</f>
        <v>3.2. Fortalecimiento de los servicios de tecnológicos, misionales y administrativos de Capital, bajo criterios de seguridad y privacidad de la información.</v>
      </c>
      <c r="G36" s="523" t="str">
        <f>+'Plan estratégico 2021-2024'!F35</f>
        <v>Garantizar continuidad en la prestación del servicio superior al 90%</v>
      </c>
      <c r="H36" s="523" t="str">
        <f>+'Plan estratégico 2021-2024'!G35</f>
        <v>Registro de la continuidad del servicio en términos de  porcentaje vs las fallas que se presentan durante el periodo de medición</v>
      </c>
      <c r="I36" s="523" t="str">
        <f>+'Plan estratégico 2021-2024'!H35</f>
        <v>2 Eficiencia: (uso de los recursos)</v>
      </c>
      <c r="J36" s="520" t="str">
        <f>+'Plan estratégico 2021-2024'!I35</f>
        <v>3.2.4</v>
      </c>
      <c r="K36" s="520" t="str">
        <f>+'Plan estratégico 2021-2024'!J35</f>
        <v>Medición de la continuidad del servicio.</v>
      </c>
      <c r="L36" s="520" t="str">
        <f t="shared" si="0"/>
        <v>3.2.4 Medición de la continuidad del servicio.</v>
      </c>
      <c r="M36" s="520" t="str">
        <f>+'Plan estratégico 2021-2024'!K35</f>
        <v>Garantizar la calidad y continuidad de la señal de transmisión del canal, evaluando y monitoreando el correcto funcionamiento de los equipos técnicos que intervienen en la cadena de emisión y transmisión.</v>
      </c>
      <c r="N36" s="520" t="str">
        <f>+'Plan estratégico 2021-2024'!L35</f>
        <v>MECN-FT-048 Registro Monitoreo Señal Fuera del Aire</v>
      </c>
      <c r="O36" s="520" t="str">
        <f>+'Plan estratégico 2021-2024'!M35</f>
        <v>Continuidad en la prestación del servicio</v>
      </c>
      <c r="P36" s="520" t="str">
        <f>+'Plan estratégico 2021-2024'!N35</f>
        <v>3 Efectividad (impacto o beneficios generados)</v>
      </c>
      <c r="Q36" s="520" t="str">
        <f>+'Plan estratégico 2021-2024'!O35</f>
        <v>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v>
      </c>
      <c r="R36" s="520" t="str">
        <f>+'Plan estratégico 2021-2024'!P35</f>
        <v>100% - (∑(Tiempo en minutos de falla de la seña del periodo reportado)/∑(tiempo en minutos de la señal programa total)*100%)</v>
      </c>
      <c r="S36" s="523" t="s">
        <v>939</v>
      </c>
      <c r="T36" s="523" t="s">
        <v>940</v>
      </c>
      <c r="U36" s="520" t="str">
        <f>+'Plan estratégico 2021-2024'!Q35</f>
        <v>Porcentaje (%).</v>
      </c>
      <c r="V36" s="520" t="str">
        <f>+'Plan estratégico 2021-2024'!R35</f>
        <v>No aplica.</v>
      </c>
      <c r="W36" s="446">
        <f>+'Plan estratégico 2021-2024'!S35</f>
        <v>0.9</v>
      </c>
      <c r="X36" s="394">
        <f>+'Plan estratégico 2021-2024'!T35</f>
        <v>0.9</v>
      </c>
      <c r="Y36" s="394">
        <f>+'Plan estratégico 2021-2024'!U35</f>
        <v>0.9</v>
      </c>
      <c r="Z36" s="394">
        <f>+'Plan estratégico 2021-2024'!V35</f>
        <v>0.9</v>
      </c>
      <c r="AA36" s="395" t="str">
        <f>+'Plan estratégico 2021-2024'!W35</f>
        <v>-</v>
      </c>
      <c r="AB36" s="395" t="str">
        <f>+'Plan estratégico 2021-2024'!X35</f>
        <v>-</v>
      </c>
      <c r="AC36" s="395" t="str">
        <f>+'Plan estratégico 2021-2024'!Y35</f>
        <v>-</v>
      </c>
      <c r="AD36" s="395" t="str">
        <f>+'Plan estratégico 2021-2024'!Z35</f>
        <v>-</v>
      </c>
      <c r="AE36" s="520" t="str">
        <f>+'Plan estratégico 2021-2024'!AA35</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medición los mantenimientos programados que afecten el retorno de señal en alguno de los puntos de monitoreo. </v>
      </c>
      <c r="AF36" s="520" t="str">
        <f>+'Plan estratégico 2021-2024'!AB35</f>
        <v>Cumplimiento del avance en las actividades de gestión definidas.</v>
      </c>
      <c r="AG36" s="520" t="str">
        <f>+'Plan estratégico 2021-2024'!AC35</f>
        <v>1 Eficacia: (cumplimiento de metas)</v>
      </c>
      <c r="AH36" s="520" t="str">
        <f>+'Plan estratégico 2021-2024'!AD35</f>
        <v>Porcentaje (%)</v>
      </c>
      <c r="AI36" s="520" t="str">
        <f>+'Plan estratégico 2021-2024'!AE35</f>
        <v>Mensual.</v>
      </c>
      <c r="AJ36" s="520" t="str">
        <f>+'Plan estratégico 2021-2024'!AF35</f>
        <v>No aplica.</v>
      </c>
      <c r="AK36" s="520" t="str">
        <f>+'Plan estratégico 2021-2024'!AG35</f>
        <v>Director Operativo.</v>
      </c>
      <c r="AL36" s="520" t="str">
        <f>+'Plan estratégico 2021-2024'!AH35</f>
        <v>Coordinadora área Técnica</v>
      </c>
      <c r="AM36" s="406">
        <f>1-(20/44640)</f>
        <v>0.99955197132616491</v>
      </c>
      <c r="AN36" s="406">
        <f>1-(14/40320)</f>
        <v>0.99965277777777772</v>
      </c>
      <c r="AO36" s="406">
        <f>1-(663/44640)</f>
        <v>0.98514784946236555</v>
      </c>
      <c r="AP36" s="406">
        <f>1-(415/43200)</f>
        <v>0.99039351851851853</v>
      </c>
      <c r="AQ36" s="406">
        <f>1-(0/44640)</f>
        <v>1</v>
      </c>
      <c r="AR36" s="406">
        <f>1-(0/43200)</f>
        <v>1</v>
      </c>
      <c r="AS36" s="406">
        <f>1-(0/44640)</f>
        <v>1</v>
      </c>
      <c r="AT36" s="406">
        <f>1-(30/44640)</f>
        <v>0.99932795698924726</v>
      </c>
      <c r="AU36" s="406">
        <f>1-(29/43200)</f>
        <v>0.99932870370370375</v>
      </c>
      <c r="AV36" s="406"/>
      <c r="AW36" s="406"/>
      <c r="AX36" s="406"/>
      <c r="AY36" s="307" t="str">
        <f t="shared" si="1"/>
        <v>3.2.4</v>
      </c>
      <c r="AZ36" s="522" t="s">
        <v>1257</v>
      </c>
      <c r="BA36" s="522" t="s">
        <v>1258</v>
      </c>
      <c r="BB36" s="537" t="s">
        <v>1322</v>
      </c>
      <c r="BC36" s="411" t="s">
        <v>1006</v>
      </c>
      <c r="BE36" s="436" t="s">
        <v>1018</v>
      </c>
      <c r="BF36" s="436" t="s">
        <v>1052</v>
      </c>
      <c r="BG36" s="436" t="s">
        <v>1243</v>
      </c>
      <c r="BH36" s="436" t="s">
        <v>1023</v>
      </c>
    </row>
    <row r="37" spans="1:60" s="27" customFormat="1" ht="110.25" customHeight="1" x14ac:dyDescent="0.2">
      <c r="A37" s="307" t="str">
        <f>+'Plan estratégico 2021-2024'!I36</f>
        <v>5.6.1</v>
      </c>
      <c r="B37" s="523" t="str">
        <f>+'Plan estratégico 2021-2024'!A36</f>
        <v>3. Salud y bienestar.
8. Trabajo decente y crecimiento económico.
11. Ciudades y comunidades sostenibles.
16. Paz, justicia e instituciones sólidas.</v>
      </c>
      <c r="C37" s="523" t="str">
        <f>+'Plan estratégico 2021-2024'!B36</f>
        <v>Propósito 1
Logro de ciudad: 3
Propósito 5
Logro de ciudad: 30</v>
      </c>
      <c r="D37" s="523" t="str">
        <f>+'Plan estratégico 2021-2024'!C36</f>
        <v>Gestión estratégica del talento humano.
Integridad</v>
      </c>
      <c r="E37" s="523" t="str">
        <f>+'Plan estratégico 2021-2024'!D36</f>
        <v>05 - Fortalecer la capacidad organizacional de Capital para ser una empresa transparente, eficiente y sostenible.</v>
      </c>
      <c r="F37" s="523" t="str">
        <f>+'Plan estratégico 2021-2024'!E36</f>
        <v>5.6. Promoción del desarrollo integral de los colaboradores del Canal.</v>
      </c>
      <c r="G37" s="523"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7" s="523" t="str">
        <f>+'Plan estratégico 2021-2024'!G36</f>
        <v>Promedio de implementación de resultados del Plan estratégico de Recursos Humanos para las vigencias de medición.</v>
      </c>
      <c r="I37" s="523" t="str">
        <f>+'Plan estratégico 2021-2024'!H36</f>
        <v>2 Eficiencia: (uso de los recursos)</v>
      </c>
      <c r="J37" s="520" t="str">
        <f>+'Plan estratégico 2021-2024'!I36</f>
        <v>5.6.1</v>
      </c>
      <c r="K37" s="520" t="str">
        <f>+'Plan estratégico 2021-2024'!J36</f>
        <v>Plan estratégico de Recursos Humanos</v>
      </c>
      <c r="L37" s="520" t="str">
        <f t="shared" si="0"/>
        <v>5.6.1 Plan estratégico de Recursos Humanos</v>
      </c>
      <c r="M37" s="520" t="str">
        <f>+'Plan estratégico 2021-2024'!K36</f>
        <v>Contribuir al Mejoramiento de la Calidad de vida de los colaboradores de la Entidad, formulando y desarrollando programas que fomenten un ambiente de trabajo positivo generando así articulación y cumplimiento de los diferentes procesos internos. (Anexo 5).</v>
      </c>
      <c r="N37" s="520" t="str">
        <f>+'Plan estratégico 2021-2024'!L36</f>
        <v>Documento escrito del plan de estratégico de Recursos Humanos 2021-2024</v>
      </c>
      <c r="O37" s="518" t="str">
        <f>+'Plan estratégico 2021-2024'!M36</f>
        <v>Cumplimiento del plan estratégico de Recursos Humanos</v>
      </c>
      <c r="P37" s="520" t="str">
        <f>+'Plan estratégico 2021-2024'!N36</f>
        <v>1 Eficacia: (cumplimiento de metas)</v>
      </c>
      <c r="Q37" s="520" t="str">
        <f>+'Plan estratégico 2021-2024'!O36</f>
        <v>Realizar seguimiento al cumplimiento de las acciones definidas en el Plan Estratégico de Recursos Humanos de la vigencia 2021.</v>
      </c>
      <c r="R37" s="520" t="str">
        <f>+'Plan estratégico 2021-2024'!P36</f>
        <v>(Porcentaje de avances en el cumplimiento de las acciones programadas en el Plan Estratégico de Recursos Humanos / Porcentaje programado de cumplimiento del Plan Estratégico de Recursos Humanos para la vigencia)*100%.</v>
      </c>
      <c r="S37" s="522" t="s">
        <v>894</v>
      </c>
      <c r="T37" s="522" t="s">
        <v>896</v>
      </c>
      <c r="U37" s="520" t="str">
        <f>+'Plan estratégico 2021-2024'!Q36</f>
        <v>Porcentaje (%).</v>
      </c>
      <c r="V37" s="520" t="str">
        <f>+'Plan estratégico 2021-2024'!R36</f>
        <v>No aplica.</v>
      </c>
      <c r="W37" s="446">
        <f>+'Plan estratégico 2021-2024'!S36</f>
        <v>0.9</v>
      </c>
      <c r="X37" s="394">
        <f>+'Plan estratégico 2021-2024'!T36</f>
        <v>0.9</v>
      </c>
      <c r="Y37" s="394">
        <f>+'Plan estratégico 2021-2024'!U36</f>
        <v>0.9</v>
      </c>
      <c r="Z37" s="394">
        <f>+'Plan estratégico 2021-2024'!V36</f>
        <v>0.9</v>
      </c>
      <c r="AA37" s="395">
        <f>+'Plan estratégico 2021-2024'!W36</f>
        <v>34778222</v>
      </c>
      <c r="AB37" s="395">
        <f>+'Plan estratégico 2021-2024'!X36</f>
        <v>0</v>
      </c>
      <c r="AC37" s="395">
        <f>+'Plan estratégico 2021-2024'!Y36</f>
        <v>0</v>
      </c>
      <c r="AD37" s="395">
        <f>+'Plan estratégico 2021-2024'!Z36</f>
        <v>0</v>
      </c>
      <c r="AE37" s="520" t="str">
        <f>+'Plan estratégico 2021-2024'!AA36</f>
        <v>1. Planificación (20%)
2. Ejecución (50%)
3. Seguimiento al cumplimiento(20%)
4. Análisis y mejoramiento(10%)</v>
      </c>
      <c r="AF37" s="520" t="str">
        <f>+'Plan estratégico 2021-2024'!AB36</f>
        <v>Indicador de cumplimiento del plan estratégico de recursos humanos
Cumplimiento de las actividades planeadas / el total de las actividades programadas en la materia. 
Plan Estratégico de Recursos Humanos implementado</v>
      </c>
      <c r="AG37" s="520" t="str">
        <f>+'Plan estratégico 2021-2024'!AC36</f>
        <v>2 Eficiencia: (uso de los recursos)</v>
      </c>
      <c r="AH37" s="520" t="str">
        <f>+'Plan estratégico 2021-2024'!AD36</f>
        <v>Porcentaje (%)</v>
      </c>
      <c r="AI37" s="520" t="str">
        <f>+'Plan estratégico 2021-2024'!AE36</f>
        <v>Trimestral.</v>
      </c>
      <c r="AJ37" s="520" t="str">
        <f>+'Plan estratégico 2021-2024'!AF36</f>
        <v>El presupuesto esta compuesto por los recursos del 3-1-1-02-04 remuneración de servicios técnicos, de Diana Martínez apoyo administrativo del área.</v>
      </c>
      <c r="AK37" s="520" t="str">
        <f>+'Plan estratégico 2021-2024'!AG36</f>
        <v>Subdirectora Administrativa</v>
      </c>
      <c r="AL37" s="520" t="str">
        <f>+'Plan estratégico 2021-2024'!AH36</f>
        <v>Profesional de Recursos Humanos</v>
      </c>
      <c r="AM37" s="696">
        <f>1/1</f>
        <v>1</v>
      </c>
      <c r="AN37" s="696"/>
      <c r="AO37" s="696"/>
      <c r="AP37" s="696">
        <f>1/1</f>
        <v>1</v>
      </c>
      <c r="AQ37" s="696"/>
      <c r="AR37" s="696"/>
      <c r="AS37" s="696">
        <f>1/1</f>
        <v>1</v>
      </c>
      <c r="AT37" s="696"/>
      <c r="AU37" s="696"/>
      <c r="AV37" s="696"/>
      <c r="AW37" s="696"/>
      <c r="AX37" s="696"/>
      <c r="AY37" s="307" t="str">
        <f t="shared" si="1"/>
        <v>5.6.1</v>
      </c>
      <c r="AZ37" s="522" t="s">
        <v>997</v>
      </c>
      <c r="BA37" s="522" t="s">
        <v>1259</v>
      </c>
      <c r="BB37" s="537" t="s">
        <v>1343</v>
      </c>
      <c r="BC37" s="411" t="s">
        <v>1006</v>
      </c>
      <c r="BE37" s="404" t="s">
        <v>1053</v>
      </c>
      <c r="BF37" s="440" t="s">
        <v>1054</v>
      </c>
      <c r="BG37" s="404" t="s">
        <v>1055</v>
      </c>
      <c r="BH37" s="436" t="s">
        <v>1023</v>
      </c>
    </row>
    <row r="38" spans="1:60" s="27" customFormat="1" ht="132.75" customHeight="1" x14ac:dyDescent="0.2">
      <c r="A38" s="307" t="str">
        <f>+'Plan estratégico 2021-2024'!I37</f>
        <v>5.6.2</v>
      </c>
      <c r="B38" s="523" t="str">
        <f>+'Plan estratégico 2021-2024'!A36</f>
        <v>3. Salud y bienestar.
8. Trabajo decente y crecimiento económico.
11. Ciudades y comunidades sostenibles.
16. Paz, justicia e instituciones sólidas.</v>
      </c>
      <c r="C38" s="523" t="str">
        <f>+'Plan estratégico 2021-2024'!B36</f>
        <v>Propósito 1
Logro de ciudad: 3
Propósito 5
Logro de ciudad: 30</v>
      </c>
      <c r="D38" s="523" t="str">
        <f>+'Plan estratégico 2021-2024'!C36</f>
        <v>Gestión estratégica del talento humano.
Integridad</v>
      </c>
      <c r="E38" s="523" t="str">
        <f>+'Plan estratégico 2021-2024'!D36</f>
        <v>05 - Fortalecer la capacidad organizacional de Capital para ser una empresa transparente, eficiente y sostenible.</v>
      </c>
      <c r="F38" s="523" t="str">
        <f>+'Plan estratégico 2021-2024'!E36</f>
        <v>5.6. Promoción del desarrollo integral de los colaboradores del Canal.</v>
      </c>
      <c r="G38" s="523"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8" s="523" t="str">
        <f>+'Plan estratégico 2021-2024'!G37</f>
        <v>Promedio de implementación de resultados del Plan de bienestar e incentivos para las vigencias de medición.</v>
      </c>
      <c r="I38" s="523" t="str">
        <f>+'Plan estratégico 2021-2024'!H37</f>
        <v>2 Eficiencia: (uso de los recursos)</v>
      </c>
      <c r="J38" s="520" t="str">
        <f>+'Plan estratégico 2021-2024'!I37</f>
        <v>5.6.2</v>
      </c>
      <c r="K38" s="520" t="str">
        <f>+'Plan estratégico 2021-2024'!J37</f>
        <v xml:space="preserve">Plan de bienestar e incentivos </v>
      </c>
      <c r="L38" s="520" t="str">
        <f t="shared" si="0"/>
        <v xml:space="preserve">5.6.2 Plan de bienestar e incentivos </v>
      </c>
      <c r="M38" s="520" t="str">
        <f>+'Plan estratégico 2021-2024'!K37</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38" s="520" t="str">
        <f>+'Plan estratégico 2021-2024'!L37</f>
        <v xml:space="preserve">Documento escrito del plan de Bienestar e Incentivos </v>
      </c>
      <c r="O38" s="518" t="str">
        <f>+'Plan estratégico 2021-2024'!M37</f>
        <v>Cumplimiento del Plan de Bienestar e Incentivos</v>
      </c>
      <c r="P38" s="520" t="str">
        <f>+'Plan estratégico 2021-2024'!N37</f>
        <v>1 Eficacia: (cumplimiento de metas)</v>
      </c>
      <c r="Q38" s="520" t="str">
        <f>+'Plan estratégico 2021-2024'!O37</f>
        <v>Realizar el seguimiento al cumplimiento de las acciones definidas en el Plan de Bienestar e incentivos de la vigencia 2021.</v>
      </c>
      <c r="R38" s="520" t="str">
        <f>+'Plan estratégico 2021-2024'!P37</f>
        <v>(Porcentaje de avances en el cumplimiento de las acciones programadas en el Plan de bienestar e inventivos / Porcentaje programado de cumplimiento del Plan de Bienestar e incentivos para la vigencia)*100%.</v>
      </c>
      <c r="S38" s="524" t="s">
        <v>895</v>
      </c>
      <c r="T38" s="524" t="s">
        <v>897</v>
      </c>
      <c r="U38" s="520" t="str">
        <f>+'Plan estratégico 2021-2024'!Q37</f>
        <v>Porcentaje (%).</v>
      </c>
      <c r="V38" s="520" t="str">
        <f>+'Plan estratégico 2021-2024'!R37</f>
        <v>No aplica.</v>
      </c>
      <c r="W38" s="446">
        <f>+'Plan estratégico 2021-2024'!S37</f>
        <v>0.91</v>
      </c>
      <c r="X38" s="394">
        <f>+'Plan estratégico 2021-2024'!T37</f>
        <v>0.91</v>
      </c>
      <c r="Y38" s="394">
        <f>+'Plan estratégico 2021-2024'!U37</f>
        <v>0.91</v>
      </c>
      <c r="Z38" s="394">
        <f>+'Plan estratégico 2021-2024'!V37</f>
        <v>0.91</v>
      </c>
      <c r="AA38" s="395">
        <f>+'Plan estratégico 2021-2024'!W37</f>
        <v>35000000</v>
      </c>
      <c r="AB38" s="395">
        <f>+'Plan estratégico 2021-2024'!X37</f>
        <v>36050000</v>
      </c>
      <c r="AC38" s="395">
        <f>+'Plan estratégico 2021-2024'!Y37</f>
        <v>37131500</v>
      </c>
      <c r="AD38" s="395">
        <f>+'Plan estratégico 2021-2024'!Z37</f>
        <v>38245445</v>
      </c>
      <c r="AE38" s="520" t="str">
        <f>+'Plan estratégico 2021-2024'!AA37</f>
        <v>1. Planificación (20%)
2. Ejecución (50%)
3. Seguimiento al cumplimiento(20%)
4. Análisis y mejoramiento(10%)</v>
      </c>
      <c r="AF38" s="520" t="str">
        <f>+'Plan estratégico 2021-2024'!AB37</f>
        <v>Indicador de cumplimiento del Plan de Bienestar e Incentivos 
Cumplimiento de las actividades planeadas / el total de las actividades programadas en la materia. 
Plan de bienestar e incentivos implementado</v>
      </c>
      <c r="AG38" s="520" t="str">
        <f>+'Plan estratégico 2021-2024'!AC37</f>
        <v>2 Eficiencia: (uso de los recursos)</v>
      </c>
      <c r="AH38" s="520" t="str">
        <f>+'Plan estratégico 2021-2024'!AD37</f>
        <v>Porcentaje (%)</v>
      </c>
      <c r="AI38" s="520" t="str">
        <f>+'Plan estratégico 2021-2024'!AE37</f>
        <v>Trimestral.</v>
      </c>
      <c r="AJ38" s="520" t="str">
        <f>+'Plan estratégico 2021-2024'!AF37</f>
        <v>No aplica.</v>
      </c>
      <c r="AK38" s="520" t="str">
        <f>+'Plan estratégico 2021-2024'!AG37</f>
        <v>Subdirectora Administrativa</v>
      </c>
      <c r="AL38" s="520" t="str">
        <f>+'Plan estratégico 2021-2024'!AH37</f>
        <v>Profesional de Recursos Humanos</v>
      </c>
      <c r="AM38" s="696">
        <f>100%/100%</f>
        <v>1</v>
      </c>
      <c r="AN38" s="696"/>
      <c r="AO38" s="696"/>
      <c r="AP38" s="696">
        <f>(28/27)/100%</f>
        <v>1.037037037037037</v>
      </c>
      <c r="AQ38" s="696"/>
      <c r="AR38" s="696"/>
      <c r="AS38" s="696">
        <f>110.7/100</f>
        <v>1.107</v>
      </c>
      <c r="AT38" s="696"/>
      <c r="AU38" s="696"/>
      <c r="AV38" s="405"/>
      <c r="AW38" s="405"/>
      <c r="AX38" s="405"/>
      <c r="AY38" s="307" t="str">
        <f t="shared" si="1"/>
        <v>5.6.2</v>
      </c>
      <c r="AZ38" s="522" t="s">
        <v>998</v>
      </c>
      <c r="BA38" s="522" t="s">
        <v>1223</v>
      </c>
      <c r="BB38" s="537" t="s">
        <v>1344</v>
      </c>
      <c r="BC38" s="411" t="s">
        <v>1006</v>
      </c>
      <c r="BE38" s="436"/>
      <c r="BF38" s="404"/>
      <c r="BG38" s="404"/>
      <c r="BH38" s="436"/>
    </row>
    <row r="39" spans="1:60" s="60" customFormat="1" ht="123.75" customHeight="1" x14ac:dyDescent="0.2">
      <c r="A39" s="307" t="str">
        <f>+'Plan estratégico 2021-2024'!I38</f>
        <v>5.6.3</v>
      </c>
      <c r="B39" s="523" t="str">
        <f>+'Plan estratégico 2021-2024'!A36</f>
        <v>3. Salud y bienestar.
8. Trabajo decente y crecimiento económico.
11. Ciudades y comunidades sostenibles.
16. Paz, justicia e instituciones sólidas.</v>
      </c>
      <c r="C39" s="523" t="str">
        <f>+'Plan estratégico 2021-2024'!B36</f>
        <v>Propósito 1
Logro de ciudad: 3
Propósito 5
Logro de ciudad: 30</v>
      </c>
      <c r="D39" s="523" t="str">
        <f>+'Plan estratégico 2021-2024'!C36</f>
        <v>Gestión estratégica del talento humano.
Integridad</v>
      </c>
      <c r="E39" s="523" t="str">
        <f>+'Plan estratégico 2021-2024'!D36</f>
        <v>05 - Fortalecer la capacidad organizacional de Capital para ser una empresa transparente, eficiente y sostenible.</v>
      </c>
      <c r="F39" s="523" t="str">
        <f>+'Plan estratégico 2021-2024'!E36</f>
        <v>5.6. Promoción del desarrollo integral de los colaboradores del Canal.</v>
      </c>
      <c r="G39" s="523"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9" s="523" t="str">
        <f>+'Plan estratégico 2021-2024'!G38</f>
        <v>Promedio de implementación de resultados del  Plan del Subsistema de Gestión de Seguridad y Salud en el Trabajo, SG-SST para las vigencias de medición.</v>
      </c>
      <c r="I39" s="523" t="str">
        <f>+'Plan estratégico 2021-2024'!H38</f>
        <v>2 Eficiencia: (uso de los recursos)</v>
      </c>
      <c r="J39" s="520" t="str">
        <f>+'Plan estratégico 2021-2024'!I38</f>
        <v>5.6.3</v>
      </c>
      <c r="K39" s="520" t="str">
        <f>+'Plan estratégico 2021-2024'!J38</f>
        <v xml:space="preserve"> Plan del Subsistema de Gestión de Seguridad y Salud en el Trabajo, SG-SST </v>
      </c>
      <c r="L39" s="520" t="str">
        <f t="shared" si="0"/>
        <v xml:space="preserve">5.6.3  Plan del Subsistema de Gestión de Seguridad y Salud en el Trabajo, SG-SST </v>
      </c>
      <c r="M39" s="520" t="str">
        <f>+'Plan estratégico 2021-2024'!K38</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39" s="520" t="str">
        <f>+'Plan estratégico 2021-2024'!L38</f>
        <v>Documento escrito del plan de Seguridad y Salud en el trabajo</v>
      </c>
      <c r="O39" s="518" t="str">
        <f>+'Plan estratégico 2021-2024'!M38</f>
        <v>Cumplimiento del Plan de Seguridad y Salud formulado e implementado.</v>
      </c>
      <c r="P39" s="520" t="str">
        <f>+'Plan estratégico 2021-2024'!N38</f>
        <v>1 Eficacia: (cumplimiento de metas)</v>
      </c>
      <c r="Q39" s="520" t="str">
        <f>+'Plan estratégico 2021-2024'!O38</f>
        <v>Realizar el seguimiento al cumplimiento de las acciones definidas en el Plan de Seguridad y Salud en el trabajo de la vigencia 2021.</v>
      </c>
      <c r="R39" s="520" t="str">
        <f>+'Plan estratégico 2021-2024'!P38</f>
        <v>(Porcentaje de avances en el cumplimiento de las acciones programadas en el Plan de Seguridad y Seguridad en el trabajo / Porcentaje programado de cumplimiento del Plan de Seguridad y Salud en el Trabajo para la vigencia)*100%.</v>
      </c>
      <c r="S39" s="522" t="s">
        <v>898</v>
      </c>
      <c r="T39" s="522" t="s">
        <v>899</v>
      </c>
      <c r="U39" s="520" t="str">
        <f>+'Plan estratégico 2021-2024'!Q38</f>
        <v>Porcentaje (%).</v>
      </c>
      <c r="V39" s="520" t="str">
        <f>+'Plan estratégico 2021-2024'!R38</f>
        <v>No aplica.</v>
      </c>
      <c r="W39" s="446">
        <f>+'Plan estratégico 2021-2024'!S38</f>
        <v>0.8</v>
      </c>
      <c r="X39" s="394">
        <f>+'Plan estratégico 2021-2024'!T38</f>
        <v>0.8</v>
      </c>
      <c r="Y39" s="394">
        <f>+'Plan estratégico 2021-2024'!U38</f>
        <v>0.8</v>
      </c>
      <c r="Z39" s="394">
        <f>+'Plan estratégico 2021-2024'!V38</f>
        <v>0.8</v>
      </c>
      <c r="AA39" s="395">
        <f>+'Plan estratégico 2021-2024'!W38</f>
        <v>108106776</v>
      </c>
      <c r="AB39" s="395">
        <f>+'Plan estratégico 2021-2024'!X38</f>
        <v>0</v>
      </c>
      <c r="AC39" s="395">
        <f>+'Plan estratégico 2021-2024'!Y38</f>
        <v>0</v>
      </c>
      <c r="AD39" s="395">
        <f>+'Plan estratégico 2021-2024'!Z38</f>
        <v>0</v>
      </c>
      <c r="AE39" s="520" t="str">
        <f>+'Plan estratégico 2021-2024'!AA38</f>
        <v>1. Planificación (20%)
2. Ejecución (50%)
3. Seguimiento al cumplimiento
4. Análisis y mejoramiento</v>
      </c>
      <c r="AF39" s="520" t="str">
        <f>+'Plan estratégico 2021-2024'!AB38</f>
        <v>Indicador de cumplimiento del Plan de Seguridad y Salud en el Trabajo.
Cumplimiento de las actividades planeadas / el total de las actividades programadas en la materia. 
Plan de Seguridad y salud en el trabajo implementado</v>
      </c>
      <c r="AG39" s="520" t="str">
        <f>+'Plan estratégico 2021-2024'!AC38</f>
        <v>2 Eficiencia: (uso de los recursos)</v>
      </c>
      <c r="AH39" s="520" t="str">
        <f>+'Plan estratégico 2021-2024'!AD38</f>
        <v>Porcentaje (%)</v>
      </c>
      <c r="AI39" s="520" t="str">
        <f>+'Plan estratégico 2021-2024'!AE38</f>
        <v>Trimestral.</v>
      </c>
      <c r="AJ39" s="520" t="str">
        <f>+'Plan estratégico 2021-2024'!AF38</f>
        <v>Esta meta esta compuesta por los siguientes rubros:
1. 3-4-1-16-05-56-7511-000  Fortalecimiento de la capacidad administrativa y tecnológica para la gestión institucional de Capital - Contrato de Juan Carlos Poveda $60.306.000
2. 3-1-2-02-13 - Salud Ocupacional $47.800.776</v>
      </c>
      <c r="AK39" s="520" t="str">
        <f>+'Plan estratégico 2021-2024'!AG38</f>
        <v>Subdirectora Administrativa</v>
      </c>
      <c r="AL39" s="520" t="str">
        <f>+'Plan estratégico 2021-2024'!AH38</f>
        <v>Profesional de Recursos Humanos</v>
      </c>
      <c r="AM39" s="696">
        <f>90/100</f>
        <v>0.9</v>
      </c>
      <c r="AN39" s="696"/>
      <c r="AO39" s="696"/>
      <c r="AP39" s="696">
        <f>90/100</f>
        <v>0.9</v>
      </c>
      <c r="AQ39" s="696"/>
      <c r="AR39" s="696"/>
      <c r="AS39" s="696">
        <f>95/100</f>
        <v>0.95</v>
      </c>
      <c r="AT39" s="696"/>
      <c r="AU39" s="696"/>
      <c r="AV39" s="405"/>
      <c r="AW39" s="405"/>
      <c r="AX39" s="405"/>
      <c r="AY39" s="307" t="str">
        <f t="shared" si="1"/>
        <v>5.6.3</v>
      </c>
      <c r="AZ39" s="522" t="s">
        <v>1260</v>
      </c>
      <c r="BA39" s="522" t="s">
        <v>1261</v>
      </c>
      <c r="BB39" s="537" t="s">
        <v>1345</v>
      </c>
      <c r="BC39" s="411" t="s">
        <v>1006</v>
      </c>
      <c r="BE39" s="436" t="s">
        <v>1047</v>
      </c>
      <c r="BF39" s="440" t="s">
        <v>1056</v>
      </c>
      <c r="BG39" s="404" t="s">
        <v>1057</v>
      </c>
      <c r="BH39" s="436" t="s">
        <v>1023</v>
      </c>
    </row>
    <row r="40" spans="1:60" s="60" customFormat="1" ht="114" customHeight="1" x14ac:dyDescent="0.2">
      <c r="A40" s="307" t="str">
        <f>+'Plan estratégico 2021-2024'!I39</f>
        <v>5.6.4</v>
      </c>
      <c r="B40" s="523" t="str">
        <f>+'Plan estratégico 2021-2024'!A36</f>
        <v>3. Salud y bienestar.
8. Trabajo decente y crecimiento económico.
11. Ciudades y comunidades sostenibles.
16. Paz, justicia e instituciones sólidas.</v>
      </c>
      <c r="C40" s="523" t="str">
        <f>+'Plan estratégico 2021-2024'!B36</f>
        <v>Propósito 1
Logro de ciudad: 3
Propósito 5
Logro de ciudad: 30</v>
      </c>
      <c r="D40" s="523" t="str">
        <f>+'Plan estratégico 2021-2024'!C36</f>
        <v>Gestión estratégica del talento humano.
Integridad</v>
      </c>
      <c r="E40" s="523" t="str">
        <f>+'Plan estratégico 2021-2024'!D36</f>
        <v>05 - Fortalecer la capacidad organizacional de Capital para ser una empresa transparente, eficiente y sostenible.</v>
      </c>
      <c r="F40" s="523" t="str">
        <f>+'Plan estratégico 2021-2024'!E36</f>
        <v>5.6. Promoción del desarrollo integral de los colaboradores del Canal.</v>
      </c>
      <c r="G40" s="523"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40" s="523" t="str">
        <f>+'Plan estratégico 2021-2024'!G39</f>
        <v>Promedio de implementación de resultados del Plan de Integridad para las vigencias de medición.</v>
      </c>
      <c r="I40" s="523" t="str">
        <f>+'Plan estratégico 2021-2024'!H39</f>
        <v>2 Eficiencia: (uso de los recursos)</v>
      </c>
      <c r="J40" s="520" t="str">
        <f>+'Plan estratégico 2021-2024'!I39</f>
        <v>5.6.4</v>
      </c>
      <c r="K40" s="520" t="str">
        <f>+'Plan estratégico 2021-2024'!J39</f>
        <v>Plan de Integridad</v>
      </c>
      <c r="L40" s="520" t="str">
        <f t="shared" si="0"/>
        <v>5.6.4 Plan de Integridad</v>
      </c>
      <c r="M40" s="520" t="str">
        <f>+'Plan estratégico 2021-2024'!K39</f>
        <v>Identificar las acciones encaminadas a la socialización y fortalecimiento del Código de Integridad de Canal Capital.</v>
      </c>
      <c r="N40" s="520" t="str">
        <f>+'Plan estratégico 2021-2024'!L39</f>
        <v>Documento escrito del plan de integridad</v>
      </c>
      <c r="O40" s="518" t="str">
        <f>+'Plan estratégico 2021-2024'!M39</f>
        <v>Cumplimiento del plan de integridad</v>
      </c>
      <c r="P40" s="520" t="str">
        <f>+'Plan estratégico 2021-2024'!N39</f>
        <v>1 Eficacia: (cumplimiento de metas)</v>
      </c>
      <c r="Q40" s="520" t="str">
        <f>+'Plan estratégico 2021-2024'!O39</f>
        <v>Realizar el seguimiento al cumplimiento de las acciones definidas en el Plan de integridad de la vigencia 2021.</v>
      </c>
      <c r="R40" s="520" t="str">
        <f>+'Plan estratégico 2021-2024'!P39</f>
        <v>(Porcentaje de avances en el cumplimiento de las acciones programadas en el Plan de integridad / Porcentaje programado de cumplimiento del Plan de Integridad para la vigencia)*100%.</v>
      </c>
      <c r="S40" s="522" t="s">
        <v>901</v>
      </c>
      <c r="T40" s="522" t="s">
        <v>900</v>
      </c>
      <c r="U40" s="520" t="str">
        <f>+'Plan estratégico 2021-2024'!Q39</f>
        <v>Porcentaje (%).</v>
      </c>
      <c r="V40" s="520" t="str">
        <f>+'Plan estratégico 2021-2024'!R39</f>
        <v>No aplica.</v>
      </c>
      <c r="W40" s="446">
        <f>+'Plan estratégico 2021-2024'!S39</f>
        <v>0.8</v>
      </c>
      <c r="X40" s="394">
        <f>+'Plan estratégico 2021-2024'!T39</f>
        <v>0.8</v>
      </c>
      <c r="Y40" s="394">
        <f>+'Plan estratégico 2021-2024'!U39</f>
        <v>0.8</v>
      </c>
      <c r="Z40" s="394">
        <f>+'Plan estratégico 2021-2024'!V39</f>
        <v>0.8</v>
      </c>
      <c r="AA40" s="395">
        <f>+'Plan estratégico 2021-2024'!W39</f>
        <v>0</v>
      </c>
      <c r="AB40" s="395">
        <f>+'Plan estratégico 2021-2024'!X39</f>
        <v>0</v>
      </c>
      <c r="AC40" s="395">
        <f>+'Plan estratégico 2021-2024'!Y39</f>
        <v>0</v>
      </c>
      <c r="AD40" s="395">
        <f>+'Plan estratégico 2021-2024'!Z39</f>
        <v>0</v>
      </c>
      <c r="AE40" s="520" t="str">
        <f>+'Plan estratégico 2021-2024'!AA39</f>
        <v>1. Planificación (20%)
2. Ejecución (50%)
3. Seguimiento al cumplimiento
4. Análisis y mejoramiento</v>
      </c>
      <c r="AF40" s="520" t="str">
        <f>+'Plan estratégico 2021-2024'!AB39</f>
        <v>Indicador de cumplimiento del Plan de Integridad.
Cumplimiento de las actividades planeadas / el total de las actividades programadas en la materia. 
Plan de Integridad implementado</v>
      </c>
      <c r="AG40" s="520" t="str">
        <f>+'Plan estratégico 2021-2024'!AC39</f>
        <v>2 Eficiencia: (uso de los recursos)</v>
      </c>
      <c r="AH40" s="520" t="str">
        <f>+'Plan estratégico 2021-2024'!AD39</f>
        <v>Porcentaje (%)</v>
      </c>
      <c r="AI40" s="520" t="str">
        <f>+'Plan estratégico 2021-2024'!AE39</f>
        <v>Trimestral.</v>
      </c>
      <c r="AJ40" s="520" t="str">
        <f>+'Plan estratégico 2021-2024'!AF39</f>
        <v>No aplica.</v>
      </c>
      <c r="AK40" s="520" t="str">
        <f>+'Plan estratégico 2021-2024'!AG39</f>
        <v>Subdirectora Administrativa</v>
      </c>
      <c r="AL40" s="520" t="str">
        <f>+'Plan estratégico 2021-2024'!AH39</f>
        <v>Profesional de Recursos Humanos</v>
      </c>
      <c r="AM40" s="695">
        <f>60/100</f>
        <v>0.6</v>
      </c>
      <c r="AN40" s="695"/>
      <c r="AO40" s="695"/>
      <c r="AP40" s="695">
        <f>60/100</f>
        <v>0.6</v>
      </c>
      <c r="AQ40" s="695"/>
      <c r="AR40" s="695"/>
      <c r="AS40" s="695">
        <f>90/100</f>
        <v>0.9</v>
      </c>
      <c r="AT40" s="695"/>
      <c r="AU40" s="695"/>
      <c r="AV40" s="695"/>
      <c r="AW40" s="695"/>
      <c r="AX40" s="695"/>
      <c r="AY40" s="307" t="str">
        <f t="shared" si="1"/>
        <v>5.6.4</v>
      </c>
      <c r="AZ40" s="546" t="s">
        <v>999</v>
      </c>
      <c r="BA40" s="522" t="s">
        <v>1262</v>
      </c>
      <c r="BB40" s="537" t="s">
        <v>1367</v>
      </c>
      <c r="BC40" s="411" t="s">
        <v>1006</v>
      </c>
      <c r="BE40" s="404" t="s">
        <v>1058</v>
      </c>
      <c r="BF40" s="404" t="s">
        <v>1059</v>
      </c>
      <c r="BG40" s="404" t="s">
        <v>1060</v>
      </c>
      <c r="BH40" s="436" t="s">
        <v>1023</v>
      </c>
    </row>
    <row r="41" spans="1:60" s="76" customFormat="1" ht="123.75" customHeight="1" x14ac:dyDescent="0.25">
      <c r="A41" s="307" t="str">
        <f>+'Plan estratégico 2021-2024'!I40</f>
        <v>5.7.1</v>
      </c>
      <c r="B41" s="523" t="str">
        <f>+'Plan estratégico 2021-2024'!A40</f>
        <v>6. Agua limpia y saneamiento.
7. Energía asequible y no contaminante.
12. Producción  y consumo responsable.
13. Acción por el clima.
15. Vida de ecosistemas terrestres.</v>
      </c>
      <c r="C41" s="523" t="str">
        <f>+'Plan estratégico 2021-2024'!B40</f>
        <v>Propósito 2
Logro de ciudad: 14 - 18 - 20
Propósito 5
Logro de ciudad: 30</v>
      </c>
      <c r="D41" s="523" t="str">
        <f>+'Plan estratégico 2021-2024'!C40</f>
        <v>Gestión Ambiental</v>
      </c>
      <c r="E41" s="523" t="str">
        <f>+'Plan estratégico 2021-2024'!D40</f>
        <v>05 - Fortalecer la capacidad organizacional de Capital para ser una empresa transparente, eficiente y sostenible.</v>
      </c>
      <c r="F41" s="523" t="str">
        <f>+'Plan estratégico 2021-2024'!E40</f>
        <v>5.7. Fortalecimiento de la cultura ambiental de Capital.</v>
      </c>
      <c r="G41" s="523" t="str">
        <f>+'Plan estratégico 2021-2024'!F40</f>
        <v xml:space="preserve">Cumplir con el 100% de las metas anuales programadas respecto al Plan de Acción PIGA para cada vigencia </v>
      </c>
      <c r="H41" s="523" t="str">
        <f>+'Plan estratégico 2021-2024'!G40</f>
        <v>Porcentaje de cumplimiento del PIGA respecto a la programación anual del Plan de Acción</v>
      </c>
      <c r="I41" s="523" t="str">
        <f>+'Plan estratégico 2021-2024'!H40</f>
        <v>2 Eficiencia: (uso de los recursos)</v>
      </c>
      <c r="J41" s="520" t="str">
        <f>+'Plan estratégico 2021-2024'!I40</f>
        <v>5.7.1</v>
      </c>
      <c r="K41" s="520" t="str">
        <f>+'Plan estratégico 2021-2024'!J40</f>
        <v>Plan institucional de Gestión Ambiental - PIGA</v>
      </c>
      <c r="L41" s="520" t="str">
        <f t="shared" si="0"/>
        <v>5.7.1 Plan institucional de Gestión Ambiental - PIGA</v>
      </c>
      <c r="M41" s="520" t="str">
        <f>+'Plan estratégico 2021-2024'!K40</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1" s="520" t="str">
        <f>+'Plan estratégico 2021-2024'!L40</f>
        <v>Plan de Acción PIGA implementado y con seguimientos</v>
      </c>
      <c r="O41" s="518" t="str">
        <f>+'Plan estratégico 2021-2024'!M40</f>
        <v>Cumplimiento del Plan Institucional de Gestión Ambiental - PIGA</v>
      </c>
      <c r="P41" s="520" t="str">
        <f>+'Plan estratégico 2021-2024'!N40</f>
        <v>1 Eficacia: (cumplimiento de metas)</v>
      </c>
      <c r="Q41" s="520" t="str">
        <f>+'Plan estratégico 2021-2024'!O40</f>
        <v>Se espera llevar el seguimiento de la implementación de las acciones establecidas en el Plan de Acción PIGA para cada vigencia en coherencia con la concertación para el periodo 2021-2024</v>
      </c>
      <c r="R41" s="520" t="str">
        <f>+'Plan estratégico 2021-2024'!P40</f>
        <v>(No. De actividades ejecutadas / No. De actividades programadas)*100%</v>
      </c>
      <c r="S41" s="520" t="s">
        <v>904</v>
      </c>
      <c r="T41" s="520" t="s">
        <v>905</v>
      </c>
      <c r="U41" s="520" t="str">
        <f>+'Plan estratégico 2021-2024'!Q40</f>
        <v>Porcentaje (%).</v>
      </c>
      <c r="V41" s="520" t="str">
        <f>+'Plan estratégico 2021-2024'!R40</f>
        <v>No aplica.</v>
      </c>
      <c r="W41" s="446">
        <f>+'Plan estratégico 2021-2024'!S40</f>
        <v>1</v>
      </c>
      <c r="X41" s="394">
        <f>+'Plan estratégico 2021-2024'!T40</f>
        <v>1</v>
      </c>
      <c r="Y41" s="394">
        <f>+'Plan estratégico 2021-2024'!U40</f>
        <v>1</v>
      </c>
      <c r="Z41" s="394">
        <f>+'Plan estratégico 2021-2024'!V40</f>
        <v>1</v>
      </c>
      <c r="AA41" s="395">
        <f>+'Plan estratégico 2021-2024'!W40</f>
        <v>22660000</v>
      </c>
      <c r="AB41" s="395">
        <f>+'Plan estratégico 2021-2024'!X40</f>
        <v>23339800</v>
      </c>
      <c r="AC41" s="395">
        <f>+'Plan estratégico 2021-2024'!Y40</f>
        <v>24039994</v>
      </c>
      <c r="AD41" s="395">
        <f>+'Plan estratégico 2021-2024'!Z40</f>
        <v>24761193.82</v>
      </c>
      <c r="AE41" s="520" t="str">
        <f>+'Plan estratégico 2021-2024'!AA40</f>
        <v>Formulación del Plan de Acción anual PIGA (15%)
Ejecución de las actividades programadas (70%)
Seguimiento semestral del Plan de Acción para informes ante la SDA. (15%)</v>
      </c>
      <c r="AF41" s="520" t="str">
        <f>+'Plan estratégico 2021-2024'!AB40</f>
        <v>Cumplimiento de las actividades de gestión, según su ponderación.</v>
      </c>
      <c r="AG41" s="520" t="str">
        <f>+'Plan estratégico 2021-2024'!AC40</f>
        <v>2 Eficiencia: (uso de los recursos)</v>
      </c>
      <c r="AH41" s="520" t="str">
        <f>+'Plan estratégico 2021-2024'!AD40</f>
        <v>Porcentaje (%)</v>
      </c>
      <c r="AI41" s="520" t="str">
        <f>+'Plan estratégico 2021-2024'!AE40</f>
        <v>Trimestral.</v>
      </c>
      <c r="AJ41" s="520" t="str">
        <f>+'Plan estratégico 2021-2024'!AF40</f>
        <v>No aplica.</v>
      </c>
      <c r="AK41" s="520" t="str">
        <f>+'Plan estratégico 2021-2024'!AG40</f>
        <v>Subdirectora Administrativa</v>
      </c>
      <c r="AL41" s="520" t="str">
        <f>+'Plan estratégico 2021-2024'!AH40</f>
        <v>Profesional de apoyo de Planeación (referente ambiental)</v>
      </c>
      <c r="AM41" s="695">
        <f>4.5/4.5</f>
        <v>1</v>
      </c>
      <c r="AN41" s="695"/>
      <c r="AO41" s="695"/>
      <c r="AP41" s="697">
        <f>17.4/21.4</f>
        <v>0.81308411214953269</v>
      </c>
      <c r="AQ41" s="697"/>
      <c r="AR41" s="697"/>
      <c r="AS41" s="697">
        <f>34.4/35</f>
        <v>0.98285714285714276</v>
      </c>
      <c r="AT41" s="697"/>
      <c r="AU41" s="697"/>
      <c r="AV41" s="400"/>
      <c r="AW41" s="408"/>
      <c r="AX41" s="408"/>
      <c r="AY41" s="307" t="str">
        <f t="shared" si="1"/>
        <v>5.7.1</v>
      </c>
      <c r="AZ41" s="522" t="s">
        <v>1000</v>
      </c>
      <c r="BA41" s="522" t="s">
        <v>1263</v>
      </c>
      <c r="BB41" s="537" t="s">
        <v>1341</v>
      </c>
      <c r="BC41" s="411" t="s">
        <v>1006</v>
      </c>
      <c r="BE41" s="436" t="s">
        <v>1018</v>
      </c>
      <c r="BF41" s="440" t="s">
        <v>1061</v>
      </c>
      <c r="BG41" s="440" t="s">
        <v>1057</v>
      </c>
      <c r="BH41" s="436" t="s">
        <v>1023</v>
      </c>
    </row>
    <row r="42" spans="1:60" s="10" customFormat="1" ht="111.75" customHeight="1" x14ac:dyDescent="0.25">
      <c r="A42" s="307" t="str">
        <f>+'Plan estratégico 2021-2024'!I41</f>
        <v>5.8.1</v>
      </c>
      <c r="B42" s="523" t="str">
        <f>+'Plan estratégico 2021-2024'!A41</f>
        <v>8. Trabajo decente y crecimiento económico.
16. Paz, justicia e instituciones sólidas.</v>
      </c>
      <c r="C42" s="523" t="str">
        <f>+'Plan estratégico 2021-2024'!B41</f>
        <v>Propósito 5
Logro de ciudad: 30</v>
      </c>
      <c r="D42" s="523" t="str">
        <f>+'Plan estratégico 2021-2024'!C41</f>
        <v>Gestión presupuestal y eficiencia del gasto público.</v>
      </c>
      <c r="E42" s="523" t="str">
        <f>+'Plan estratégico 2021-2024'!D41</f>
        <v>05 - Fortalecer la capacidad organizacional de Capital para ser una empresa transparente, eficiente y sostenible.</v>
      </c>
      <c r="F42" s="523" t="str">
        <f>+'Plan estratégico 2021-2024'!E41</f>
        <v>5.8. Plan estratégico financiero como mecanismo para la  optimización y eficiencia de los recursos económicos.</v>
      </c>
      <c r="G42" s="523" t="str">
        <f>+'Plan estratégico 2021-2024'!F41</f>
        <v>Lograr la optimización de los recursos anuales, alcanzando como mínimo un punto de equilibrio entre el ingreso y gasto</v>
      </c>
      <c r="H42" s="523" t="str">
        <f>+'Plan estratégico 2021-2024'!G41</f>
        <v>Valor recaudado en ingresos / Gastos comprometidos</v>
      </c>
      <c r="I42" s="523" t="str">
        <f>+'Plan estratégico 2021-2024'!H41</f>
        <v>2 Eficiencia: (uso de los recursos)</v>
      </c>
      <c r="J42" s="520" t="str">
        <f>+'Plan estratégico 2021-2024'!I41</f>
        <v>5.8.1</v>
      </c>
      <c r="K42" s="520" t="str">
        <f>+'Plan estratégico 2021-2024'!J41</f>
        <v>Finanzas para pensar</v>
      </c>
      <c r="L42" s="520" t="str">
        <f t="shared" si="0"/>
        <v>5.8.1 Finanzas para pensar</v>
      </c>
      <c r="M42" s="520" t="str">
        <f>+'Plan estratégico 2021-2024'!K41</f>
        <v>1. Generar resultados con superávit.
2.  Eficiencia y oportunidad en el pago de cuentas.
3. Eficiencia y oportunidad en la presentación de información contable
4. Cumplimiento de los tiempos establecidos para la facturación</v>
      </c>
      <c r="N42" s="520" t="str">
        <f>+'Plan estratégico 2021-2024'!L41</f>
        <v>Ejecución Presupuestal</v>
      </c>
      <c r="O42" s="520" t="str">
        <f>+'Plan estratégico 2021-2024'!M41</f>
        <v>Optimización de recursos</v>
      </c>
      <c r="P42" s="520" t="str">
        <f>+'Plan estratégico 2021-2024'!N41</f>
        <v>1 Eficacia: (cumplimiento de metas)</v>
      </c>
      <c r="Q42" s="520" t="str">
        <f>+'Plan estratégico 2021-2024'!O41</f>
        <v>Establecer el superávit permanente en las operaciones de la empresa.</v>
      </c>
      <c r="R42" s="520" t="str">
        <f>+'Plan estratégico 2021-2024'!P41</f>
        <v>Recaudo Acumulado de Recursos Propios  / Compromisos Acumulados de Recursos Propios</v>
      </c>
      <c r="S42" s="518" t="s">
        <v>906</v>
      </c>
      <c r="T42" s="518" t="s">
        <v>902</v>
      </c>
      <c r="U42" s="520" t="str">
        <f>+'Plan estratégico 2021-2024'!Q41</f>
        <v>Porcentaje (%).</v>
      </c>
      <c r="V42" s="520" t="str">
        <f>+'Plan estratégico 2021-2024'!R41</f>
        <v>No aplica.</v>
      </c>
      <c r="W42" s="307" t="str">
        <f>+'Plan estratégico 2021-2024'!S41</f>
        <v>≥ 1</v>
      </c>
      <c r="X42" s="520" t="str">
        <f>+'Plan estratégico 2021-2024'!T41</f>
        <v>≥ 1</v>
      </c>
      <c r="Y42" s="520" t="str">
        <f>+'Plan estratégico 2021-2024'!U41</f>
        <v>≥ 1</v>
      </c>
      <c r="Z42" s="520" t="str">
        <f>+'Plan estratégico 2021-2024'!V41</f>
        <v>≥ 1</v>
      </c>
      <c r="AA42" s="395">
        <f>+'Plan estratégico 2021-2024'!W41</f>
        <v>390698364</v>
      </c>
      <c r="AB42" s="395">
        <f>+'Plan estratégico 2021-2024'!X41</f>
        <v>402419314.92000002</v>
      </c>
      <c r="AC42" s="395">
        <f>+'Plan estratégico 2021-2024'!Y41</f>
        <v>414491894.36760002</v>
      </c>
      <c r="AD42" s="395">
        <f>+'Plan estratégico 2021-2024'!Z41</f>
        <v>426926651.19862801</v>
      </c>
      <c r="AE42" s="520" t="str">
        <f>+'Plan estratégico 2021-2024'!AA41</f>
        <v>1.  Comparar el ingreso frente al gasto de recursos propios y generar alertas.</v>
      </c>
      <c r="AF42" s="520" t="str">
        <f>+'Plan estratégico 2021-2024'!AB41</f>
        <v>Cumplimiento de las actividades de gestión, según su ponderación.</v>
      </c>
      <c r="AG42" s="520" t="str">
        <f>+'Plan estratégico 2021-2024'!AC41</f>
        <v>1 Eficacia: (cumplimiento de metas)</v>
      </c>
      <c r="AH42" s="520" t="str">
        <f>+'Plan estratégico 2021-2024'!AD41</f>
        <v>Número (#)</v>
      </c>
      <c r="AI42" s="520" t="str">
        <f>+'Plan estratégico 2021-2024'!AE41</f>
        <v>Trimestral.</v>
      </c>
      <c r="AJ42" s="520" t="str">
        <f>+'Plan estratégico 2021-2024'!AF41</f>
        <v>El presupuesto distribuido corresponde con el valor global asignado al equipo de la Subdirección Financiera.</v>
      </c>
      <c r="AK42" s="520" t="str">
        <f>+'Plan estratégico 2021-2024'!AG41</f>
        <v>Subdirector Financiero</v>
      </c>
      <c r="AL42" s="520" t="str">
        <f>+'Plan estratégico 2021-2024'!AH41</f>
        <v>Profesional de Presupuesto</v>
      </c>
      <c r="AM42" s="697">
        <f>4033857025/5562475521</f>
        <v>0.72519097113703956</v>
      </c>
      <c r="AN42" s="697"/>
      <c r="AO42" s="697"/>
      <c r="AP42" s="697">
        <f>4783668153/(7690768611-144200000)</f>
        <v>0.6338865250661404</v>
      </c>
      <c r="AQ42" s="697"/>
      <c r="AR42" s="697"/>
      <c r="AS42" s="697">
        <f>7197225026/10158823523</f>
        <v>0.70847032726822967</v>
      </c>
      <c r="AT42" s="697"/>
      <c r="AU42" s="697"/>
      <c r="AV42" s="697"/>
      <c r="AW42" s="697"/>
      <c r="AX42" s="697"/>
      <c r="AY42" s="307" t="str">
        <f t="shared" si="1"/>
        <v>5.8.1</v>
      </c>
      <c r="AZ42" s="519" t="s">
        <v>1264</v>
      </c>
      <c r="BA42" s="519" t="s">
        <v>1225</v>
      </c>
      <c r="BB42" s="536" t="s">
        <v>1331</v>
      </c>
      <c r="BC42" s="411" t="s">
        <v>1005</v>
      </c>
      <c r="BE42" s="404"/>
      <c r="BF42" s="404"/>
      <c r="BG42" s="440"/>
      <c r="BH42" s="436"/>
    </row>
    <row r="43" spans="1:60" s="10" customFormat="1" ht="111" customHeight="1" x14ac:dyDescent="0.25">
      <c r="A43" s="307" t="str">
        <f>+'Plan estratégico 2021-2024'!I42</f>
        <v>5.8.2</v>
      </c>
      <c r="B43" s="523" t="str">
        <f>+'Plan estratégico 2021-2024'!A41</f>
        <v>8. Trabajo decente y crecimiento económico.
16. Paz, justicia e instituciones sólidas.</v>
      </c>
      <c r="C43" s="523" t="str">
        <f>+'Plan estratégico 2021-2024'!B41</f>
        <v>Propósito 5
Logro de ciudad: 30</v>
      </c>
      <c r="D43" s="523" t="str">
        <f>+'Plan estratégico 2021-2024'!C41</f>
        <v>Gestión presupuestal y eficiencia del gasto público.</v>
      </c>
      <c r="E43" s="523" t="str">
        <f>+'Plan estratégico 2021-2024'!D41</f>
        <v>05 - Fortalecer la capacidad organizacional de Capital para ser una empresa transparente, eficiente y sostenible.</v>
      </c>
      <c r="F43" s="523" t="str">
        <f>+'Plan estratégico 2021-2024'!E41</f>
        <v>5.8. Plan estratégico financiero como mecanismo para la  optimización y eficiencia de los recursos económicos.</v>
      </c>
      <c r="G43" s="523" t="str">
        <f>+'Plan estratégico 2021-2024'!F41</f>
        <v>Lograr la optimización de los recursos anuales, alcanzando como mínimo un punto de equilibrio entre el ingreso y gasto</v>
      </c>
      <c r="H43" s="523" t="str">
        <f>+'Plan estratégico 2021-2024'!G41</f>
        <v>Valor recaudado en ingresos / Gastos comprometidos</v>
      </c>
      <c r="I43" s="523" t="str">
        <f>+'Plan estratégico 2021-2024'!H41</f>
        <v>2 Eficiencia: (uso de los recursos)</v>
      </c>
      <c r="J43" s="520" t="str">
        <f>+'Plan estratégico 2021-2024'!I42</f>
        <v>5.8.2</v>
      </c>
      <c r="K43" s="520" t="str">
        <f>+'Plan estratégico 2021-2024'!J41</f>
        <v>Finanzas para pensar</v>
      </c>
      <c r="L43" s="520" t="str">
        <f t="shared" si="0"/>
        <v>5.8.2 Finanzas para pensar</v>
      </c>
      <c r="M43" s="520" t="str">
        <f>+'Plan estratégico 2021-2024'!K41</f>
        <v>1. Generar resultados con superávit.
2.  Eficiencia y oportunidad en el pago de cuentas.
3. Eficiencia y oportunidad en la presentación de información contable
4. Cumplimiento de los tiempos establecidos para la facturación</v>
      </c>
      <c r="N43" s="520" t="str">
        <f>+'Plan estratégico 2021-2024'!L42</f>
        <v>Ordenes de pago tramitadas y pagadas dentro del periodo correspondiente.</v>
      </c>
      <c r="O43" s="518" t="str">
        <f>+'Plan estratégico 2021-2024'!M42</f>
        <v>Oportunidad en la gestión de órdenes de pago</v>
      </c>
      <c r="P43" s="520" t="str">
        <f>+'Plan estratégico 2021-2024'!N42</f>
        <v>1 Eficacia: (cumplimiento de metas)</v>
      </c>
      <c r="Q43" s="520" t="str">
        <f>+'Plan estratégico 2021-2024'!O42</f>
        <v>Medir la eficiencia del proceso de pagos.</v>
      </c>
      <c r="R43" s="520" t="str">
        <f>+'Plan estratégico 2021-2024'!P42</f>
        <v xml:space="preserve">∑ Ordenes de pago ≤ 4 días / Total Ordenes de Pago </v>
      </c>
      <c r="S43" s="518" t="s">
        <v>908</v>
      </c>
      <c r="T43" s="518" t="s">
        <v>903</v>
      </c>
      <c r="U43" s="520" t="str">
        <f>+'Plan estratégico 2021-2024'!Q42</f>
        <v>Porcentaje (%).</v>
      </c>
      <c r="V43" s="520" t="str">
        <f>+'Plan estratégico 2021-2024'!R41</f>
        <v>No aplica.</v>
      </c>
      <c r="W43" s="307" t="str">
        <f>+'Plan estratégico 2021-2024'!S42</f>
        <v>≤4</v>
      </c>
      <c r="X43" s="520" t="str">
        <f>+'Plan estratégico 2021-2024'!T42</f>
        <v>≤4</v>
      </c>
      <c r="Y43" s="520" t="str">
        <f>+'Plan estratégico 2021-2024'!U42</f>
        <v>≤4</v>
      </c>
      <c r="Z43" s="520" t="str">
        <f>+'Plan estratégico 2021-2024'!V42</f>
        <v>≤4</v>
      </c>
      <c r="AA43" s="395">
        <f>+'Plan estratégico 2021-2024'!W41</f>
        <v>390698364</v>
      </c>
      <c r="AB43" s="395">
        <f>+'Plan estratégico 2021-2024'!X41</f>
        <v>402419314.92000002</v>
      </c>
      <c r="AC43" s="395">
        <f>+'Plan estratégico 2021-2024'!Y41</f>
        <v>414491894.36760002</v>
      </c>
      <c r="AD43" s="395">
        <f>+'Plan estratégico 2021-2024'!Z41</f>
        <v>426926651.19862801</v>
      </c>
      <c r="AE43" s="520" t="str">
        <f>+'Plan estratégico 2021-2024'!AA42</f>
        <v xml:space="preserve">2. Liquidar ordenes e pago y diligenciar matriz de control  </v>
      </c>
      <c r="AF43" s="520" t="str">
        <f>+'Plan estratégico 2021-2024'!AB42</f>
        <v>Cumplimiento de las actividades de gestión, según su ponderación.</v>
      </c>
      <c r="AG43" s="520" t="str">
        <f>+'Plan estratégico 2021-2024'!AC42</f>
        <v>1 Eficacia: (cumplimiento de metas)</v>
      </c>
      <c r="AH43" s="520" t="str">
        <f>+'Plan estratégico 2021-2024'!AD42</f>
        <v>Porcentaje (%)</v>
      </c>
      <c r="AI43" s="520" t="str">
        <f>+'Plan estratégico 2021-2024'!AE42</f>
        <v>Mensual.</v>
      </c>
      <c r="AJ43" s="520" t="str">
        <f>+'Plan estratégico 2021-2024'!AF41</f>
        <v>El presupuesto distribuido corresponde con el valor global asignado al equipo de la Subdirección Financiera.</v>
      </c>
      <c r="AK43" s="520" t="str">
        <f>+'Plan estratégico 2021-2024'!AG41</f>
        <v>Subdirector Financiero</v>
      </c>
      <c r="AL43" s="520" t="str">
        <f>+'Plan estratégico 2021-2024'!AH42</f>
        <v>Subdirector Financiero</v>
      </c>
      <c r="AM43" s="409">
        <f>293/296</f>
        <v>0.98986486486486491</v>
      </c>
      <c r="AN43" s="409">
        <f>246/328</f>
        <v>0.75</v>
      </c>
      <c r="AO43" s="409">
        <f>353/397</f>
        <v>0.88916876574307302</v>
      </c>
      <c r="AP43" s="409">
        <f>319/425</f>
        <v>0.75058823529411767</v>
      </c>
      <c r="AQ43" s="409">
        <f>361/427</f>
        <v>0.84543325526932089</v>
      </c>
      <c r="AR43" s="409">
        <f>332/444</f>
        <v>0.74774774774774777</v>
      </c>
      <c r="AS43" s="409">
        <f>307/445</f>
        <v>0.68988764044943818</v>
      </c>
      <c r="AT43" s="409">
        <f>238/440</f>
        <v>0.54090909090909089</v>
      </c>
      <c r="AU43" s="409">
        <f>173/422</f>
        <v>0.4099526066350711</v>
      </c>
      <c r="AV43" s="409"/>
      <c r="AW43" s="409"/>
      <c r="AX43" s="409"/>
      <c r="AY43" s="307" t="str">
        <f t="shared" si="1"/>
        <v>5.8.2</v>
      </c>
      <c r="AZ43" s="519" t="s">
        <v>1265</v>
      </c>
      <c r="BA43" s="519" t="s">
        <v>1266</v>
      </c>
      <c r="BB43" s="536" t="s">
        <v>1332</v>
      </c>
      <c r="BC43" s="411" t="s">
        <v>1005</v>
      </c>
      <c r="BE43" s="440"/>
      <c r="BF43" s="440"/>
      <c r="BG43" s="440"/>
      <c r="BH43" s="436"/>
    </row>
    <row r="44" spans="1:60" s="10" customFormat="1" ht="93" customHeight="1" x14ac:dyDescent="0.25">
      <c r="A44" s="307" t="str">
        <f>+'Plan estratégico 2021-2024'!I43</f>
        <v>5.8.3</v>
      </c>
      <c r="B44" s="523" t="str">
        <f>+'Plan estratégico 2021-2024'!A41</f>
        <v>8. Trabajo decente y crecimiento económico.
16. Paz, justicia e instituciones sólidas.</v>
      </c>
      <c r="C44" s="523" t="str">
        <f>+'Plan estratégico 2021-2024'!B41</f>
        <v>Propósito 5
Logro de ciudad: 30</v>
      </c>
      <c r="D44" s="523" t="str">
        <f>+'Plan estratégico 2021-2024'!C41</f>
        <v>Gestión presupuestal y eficiencia del gasto público.</v>
      </c>
      <c r="E44" s="523" t="str">
        <f>+'Plan estratégico 2021-2024'!D41</f>
        <v>05 - Fortalecer la capacidad organizacional de Capital para ser una empresa transparente, eficiente y sostenible.</v>
      </c>
      <c r="F44" s="523" t="str">
        <f>+'Plan estratégico 2021-2024'!E41</f>
        <v>5.8. Plan estratégico financiero como mecanismo para la  optimización y eficiencia de los recursos económicos.</v>
      </c>
      <c r="G44" s="523" t="str">
        <f>+'Plan estratégico 2021-2024'!F41</f>
        <v>Lograr la optimización de los recursos anuales, alcanzando como mínimo un punto de equilibrio entre el ingreso y gasto</v>
      </c>
      <c r="H44" s="523" t="str">
        <f>+'Plan estratégico 2021-2024'!G41</f>
        <v>Valor recaudado en ingresos / Gastos comprometidos</v>
      </c>
      <c r="I44" s="523" t="str">
        <f>+'Plan estratégico 2021-2024'!H41</f>
        <v>2 Eficiencia: (uso de los recursos)</v>
      </c>
      <c r="J44" s="520" t="str">
        <f>+'Plan estratégico 2021-2024'!I43</f>
        <v>5.8.3</v>
      </c>
      <c r="K44" s="520" t="str">
        <f>+'Plan estratégico 2021-2024'!J41</f>
        <v>Finanzas para pensar</v>
      </c>
      <c r="L44" s="520" t="str">
        <f t="shared" si="0"/>
        <v>5.8.3 Finanzas para pensar</v>
      </c>
      <c r="M44" s="520" t="str">
        <f>+'Plan estratégico 2021-2024'!K41</f>
        <v>1. Generar resultados con superávit.
2.  Eficiencia y oportunidad en el pago de cuentas.
3. Eficiencia y oportunidad en la presentación de información contable
4. Cumplimiento de los tiempos establecidos para la facturación</v>
      </c>
      <c r="N44" s="520" t="str">
        <f>+'Plan estratégico 2021-2024'!L43</f>
        <v>Flujo de caja.</v>
      </c>
      <c r="O44" s="518" t="str">
        <f>+'Plan estratégico 2021-2024'!M43</f>
        <v>Gestión mensual del flujo de caja</v>
      </c>
      <c r="P44" s="520" t="str">
        <f>+'Plan estratégico 2021-2024'!N43</f>
        <v>1 Eficacia: (cumplimiento de metas)</v>
      </c>
      <c r="Q44" s="520" t="str">
        <f>+'Plan estratégico 2021-2024'!O43</f>
        <v>Presentar la situación de liquidez de la empresa.</v>
      </c>
      <c r="R44" s="520" t="str">
        <f>+'Plan estratégico 2021-2024'!P43</f>
        <v>Ingresos / Giros</v>
      </c>
      <c r="S44" s="518" t="s">
        <v>909</v>
      </c>
      <c r="T44" s="518" t="s">
        <v>910</v>
      </c>
      <c r="U44" s="520" t="str">
        <f>+'Plan estratégico 2021-2024'!Q43</f>
        <v>Número (#).</v>
      </c>
      <c r="V44" s="520" t="str">
        <f>+'Plan estratégico 2021-2024'!R41</f>
        <v>No aplica.</v>
      </c>
      <c r="W44" s="307" t="str">
        <f>+'Plan estratégico 2021-2024'!S43</f>
        <v>≥ 1</v>
      </c>
      <c r="X44" s="520" t="str">
        <f>+'Plan estratégico 2021-2024'!T43</f>
        <v>≥ 1</v>
      </c>
      <c r="Y44" s="520" t="str">
        <f>+'Plan estratégico 2021-2024'!U43</f>
        <v>≥ 1</v>
      </c>
      <c r="Z44" s="520" t="str">
        <f>+'Plan estratégico 2021-2024'!V43</f>
        <v>≥ 1</v>
      </c>
      <c r="AA44" s="395">
        <f>+'Plan estratégico 2021-2024'!W41</f>
        <v>390698364</v>
      </c>
      <c r="AB44" s="395">
        <f>+'Plan estratégico 2021-2024'!X41</f>
        <v>402419314.92000002</v>
      </c>
      <c r="AC44" s="395">
        <f>+'Plan estratégico 2021-2024'!Y41</f>
        <v>414491894.36760002</v>
      </c>
      <c r="AD44" s="395">
        <f>+'Plan estratégico 2021-2024'!Z41</f>
        <v>426926651.19862801</v>
      </c>
      <c r="AE44" s="520" t="str">
        <f>+'Plan estratégico 2021-2024'!AA43</f>
        <v xml:space="preserve">3. Elaborar los flujos de caja mensuales          </v>
      </c>
      <c r="AF44" s="520" t="str">
        <f>+'Plan estratégico 2021-2024'!AB43</f>
        <v>Cumplimiento de las actividades de gestión, según su ponderación.</v>
      </c>
      <c r="AG44" s="520" t="str">
        <f>+'Plan estratégico 2021-2024'!AC43</f>
        <v>1 Eficacia: (cumplimiento de metas)</v>
      </c>
      <c r="AH44" s="520" t="str">
        <f>+'Plan estratégico 2021-2024'!AD43</f>
        <v>Número (#)</v>
      </c>
      <c r="AI44" s="520" t="str">
        <f>+'Plan estratégico 2021-2024'!AE43</f>
        <v>Mensual.</v>
      </c>
      <c r="AJ44" s="520" t="str">
        <f>+'Plan estratégico 2021-2024'!AF41</f>
        <v>El presupuesto distribuido corresponde con el valor global asignado al equipo de la Subdirección Financiera.</v>
      </c>
      <c r="AK44" s="520" t="str">
        <f>+'Plan estratégico 2021-2024'!AG41</f>
        <v>Subdirector Financiero</v>
      </c>
      <c r="AL44" s="520" t="str">
        <f>+'Plan estratégico 2021-2024'!AH43</f>
        <v>Profesional de Tesorería</v>
      </c>
      <c r="AM44" s="410">
        <f>12483077918/2336367439</f>
        <v>5.3429429419470695</v>
      </c>
      <c r="AN44" s="410">
        <f>10611592832/2283986380</f>
        <v>4.6460841119376557</v>
      </c>
      <c r="AO44" s="410">
        <f>8623564072/3572512758</f>
        <v>2.4138651577070167</v>
      </c>
      <c r="AP44" s="410">
        <f>8215963708.02/2806364390</f>
        <v>2.9276182869538196</v>
      </c>
      <c r="AQ44" s="410">
        <f>6947207646.83/2732876005</f>
        <v>2.5420866640563151</v>
      </c>
      <c r="AR44" s="410">
        <f>4964135068.83/2954903406</f>
        <v>1.6799652600319213</v>
      </c>
      <c r="AS44" s="410">
        <f>6072820193/2445739820</f>
        <v>2.4830197158911202</v>
      </c>
      <c r="AT44" s="410">
        <f>7646369074/1443938000</f>
        <v>5.2954968108048961</v>
      </c>
      <c r="AU44" s="410">
        <f>6545966998.37/1943280000</f>
        <v>3.3685145724599646</v>
      </c>
      <c r="AV44" s="410"/>
      <c r="AW44" s="410"/>
      <c r="AX44" s="410"/>
      <c r="AY44" s="307" t="str">
        <f t="shared" si="1"/>
        <v>5.8.3</v>
      </c>
      <c r="AZ44" s="519" t="s">
        <v>1001</v>
      </c>
      <c r="BA44" s="519" t="s">
        <v>1267</v>
      </c>
      <c r="BB44" s="521" t="s">
        <v>1361</v>
      </c>
      <c r="BC44" s="411" t="s">
        <v>1005</v>
      </c>
      <c r="BE44" s="440" t="s">
        <v>1064</v>
      </c>
      <c r="BF44" s="440" t="s">
        <v>1063</v>
      </c>
      <c r="BG44" s="440" t="s">
        <v>1057</v>
      </c>
      <c r="BH44" s="436" t="s">
        <v>1023</v>
      </c>
    </row>
    <row r="45" spans="1:60" s="10" customFormat="1" ht="173.25" customHeight="1" x14ac:dyDescent="0.25">
      <c r="A45" s="307" t="str">
        <f>+'Plan estratégico 2021-2024'!I44</f>
        <v>5.8.4</v>
      </c>
      <c r="B45" s="523" t="str">
        <f>+'Plan estratégico 2021-2024'!A41</f>
        <v>8. Trabajo decente y crecimiento económico.
16. Paz, justicia e instituciones sólidas.</v>
      </c>
      <c r="C45" s="523" t="str">
        <f>+'Plan estratégico 2021-2024'!B41</f>
        <v>Propósito 5
Logro de ciudad: 30</v>
      </c>
      <c r="D45" s="523" t="str">
        <f>+'Plan estratégico 2021-2024'!C41</f>
        <v>Gestión presupuestal y eficiencia del gasto público.</v>
      </c>
      <c r="E45" s="523" t="str">
        <f>+'Plan estratégico 2021-2024'!D41</f>
        <v>05 - Fortalecer la capacidad organizacional de Capital para ser una empresa transparente, eficiente y sostenible.</v>
      </c>
      <c r="F45" s="523" t="str">
        <f>+'Plan estratégico 2021-2024'!E41</f>
        <v>5.8. Plan estratégico financiero como mecanismo para la  optimización y eficiencia de los recursos económicos.</v>
      </c>
      <c r="G45" s="523" t="str">
        <f>+'Plan estratégico 2021-2024'!F41</f>
        <v>Lograr la optimización de los recursos anuales, alcanzando como mínimo un punto de equilibrio entre el ingreso y gasto</v>
      </c>
      <c r="H45" s="523" t="str">
        <f>+'Plan estratégico 2021-2024'!G41</f>
        <v>Valor recaudado en ingresos / Gastos comprometidos</v>
      </c>
      <c r="I45" s="523" t="str">
        <f>+'Plan estratégico 2021-2024'!H41</f>
        <v>2 Eficiencia: (uso de los recursos)</v>
      </c>
      <c r="J45" s="520" t="str">
        <f>+'Plan estratégico 2021-2024'!I44</f>
        <v>5.8.4</v>
      </c>
      <c r="K45" s="520" t="str">
        <f>+'Plan estratégico 2021-2024'!J41</f>
        <v>Finanzas para pensar</v>
      </c>
      <c r="L45" s="520" t="str">
        <f t="shared" si="0"/>
        <v>5.8.4 Finanzas para pensar</v>
      </c>
      <c r="M45" s="520" t="str">
        <f>+'Plan estratégico 2021-2024'!K41</f>
        <v>1. Generar resultados con superávit.
2.  Eficiencia y oportunidad en el pago de cuentas.
3. Eficiencia y oportunidad en la presentación de información contable
4. Cumplimiento de los tiempos establecidos para la facturación</v>
      </c>
      <c r="N45" s="520" t="str">
        <f>+'Plan estratégico 2021-2024'!L44</f>
        <v>Estados Contables mensuales</v>
      </c>
      <c r="O45" s="518" t="str">
        <f>+'Plan estratégico 2021-2024'!M44</f>
        <v>Gestión mensual contable - Estados contables</v>
      </c>
      <c r="P45" s="520" t="str">
        <f>+'Plan estratégico 2021-2024'!N44</f>
        <v>2 Eficiencia: (uso de los recursos)</v>
      </c>
      <c r="Q45" s="520" t="str">
        <f>+'Plan estratégico 2021-2024'!O44</f>
        <v>Presentar la situación financiera de la empresa en el periodo correspondiente.</v>
      </c>
      <c r="R45" s="520" t="str">
        <f>+'Plan estratégico 2021-2024'!P44</f>
        <v>Ingresos - Costos y/o Gastos</v>
      </c>
      <c r="S45" s="518" t="s">
        <v>909</v>
      </c>
      <c r="T45" s="518" t="s">
        <v>912</v>
      </c>
      <c r="U45" s="520" t="str">
        <f>+'Plan estratégico 2021-2024'!Q44</f>
        <v>Número (#).</v>
      </c>
      <c r="V45" s="520" t="str">
        <f>+'Plan estratégico 2021-2024'!R41</f>
        <v>No aplica.</v>
      </c>
      <c r="W45" s="307" t="str">
        <f>+'Plan estratégico 2021-2024'!S44</f>
        <v>≥ 0</v>
      </c>
      <c r="X45" s="520" t="str">
        <f>+'Plan estratégico 2021-2024'!T44</f>
        <v>≥ 0</v>
      </c>
      <c r="Y45" s="520" t="str">
        <f>+'Plan estratégico 2021-2024'!U44</f>
        <v>≥ 0</v>
      </c>
      <c r="Z45" s="520" t="str">
        <f>+'Plan estratégico 2021-2024'!V44</f>
        <v>≥ 0</v>
      </c>
      <c r="AA45" s="395">
        <f>+'Plan estratégico 2021-2024'!W41</f>
        <v>390698364</v>
      </c>
      <c r="AB45" s="395">
        <f>+'Plan estratégico 2021-2024'!X41</f>
        <v>402419314.92000002</v>
      </c>
      <c r="AC45" s="395">
        <f>+'Plan estratégico 2021-2024'!Y41</f>
        <v>414491894.36760002</v>
      </c>
      <c r="AD45" s="395">
        <f>+'Plan estratégico 2021-2024'!Z41</f>
        <v>426926651.19862801</v>
      </c>
      <c r="AE45" s="520" t="str">
        <f>+'Plan estratégico 2021-2024'!AA44</f>
        <v xml:space="preserve">4. Elaborar los estados contables mensuales                     </v>
      </c>
      <c r="AF45" s="520" t="str">
        <f>+'Plan estratégico 2021-2024'!AB44</f>
        <v>Cumplimiento de las actividades de gestión, según su ponderación.</v>
      </c>
      <c r="AG45" s="520" t="str">
        <f>+'Plan estratégico 2021-2024'!AC44</f>
        <v>2 Eficiencia: (uso de los recursos)</v>
      </c>
      <c r="AH45" s="520" t="str">
        <f>+'Plan estratégico 2021-2024'!AD44</f>
        <v>Número (#)</v>
      </c>
      <c r="AI45" s="520" t="str">
        <f>+'Plan estratégico 2021-2024'!AE44</f>
        <v>Mensual.</v>
      </c>
      <c r="AJ45" s="520" t="str">
        <f>+'Plan estratégico 2021-2024'!AF41</f>
        <v>El presupuesto distribuido corresponde con el valor global asignado al equipo de la Subdirección Financiera.</v>
      </c>
      <c r="AK45" s="520" t="str">
        <f>+'Plan estratégico 2021-2024'!AG41</f>
        <v>Subdirector Financiero</v>
      </c>
      <c r="AL45" s="520" t="str">
        <f>+'Plan estratégico 2021-2024'!AH44</f>
        <v>Profesional de Contabilidad</v>
      </c>
      <c r="AM45" s="507">
        <f>2421730303.8-1591152214.74</f>
        <v>830578089.06000018</v>
      </c>
      <c r="AN45" s="507">
        <f>2739743603.2-3441413690.8</f>
        <v>-701670087.60000038</v>
      </c>
      <c r="AO45" s="507">
        <f>3135908767.11-5818270949.9</f>
        <v>-2682362182.7899995</v>
      </c>
      <c r="AP45" s="507">
        <f>7133539144.32-8909996613.05</f>
        <v>-1776457468.7299995</v>
      </c>
      <c r="AQ45" s="507">
        <f>7983128102.09-11870017801.98</f>
        <v>-3886889699.8899994</v>
      </c>
      <c r="AR45" s="507">
        <f>9398218479.89-15477765430.7</f>
        <v>-6079546950.8100014</v>
      </c>
      <c r="AS45" s="507">
        <f>13966093188.36-18374312606.73</f>
        <v>-4408219418.3699989</v>
      </c>
      <c r="AT45" s="507">
        <f>18062008028.75-21142886462.15</f>
        <v>-3080878433.4000015</v>
      </c>
      <c r="AU45" s="507">
        <f>19556004528.42-24190653691.94</f>
        <v>-4634649163.5200005</v>
      </c>
      <c r="AV45" s="410"/>
      <c r="AW45" s="410"/>
      <c r="AX45" s="410"/>
      <c r="AY45" s="307" t="str">
        <f t="shared" si="1"/>
        <v>5.8.4</v>
      </c>
      <c r="AZ45" s="519" t="s">
        <v>1283</v>
      </c>
      <c r="BA45" s="519" t="s">
        <v>1334</v>
      </c>
      <c r="BB45" s="536" t="s">
        <v>1360</v>
      </c>
      <c r="BC45" s="411" t="s">
        <v>1333</v>
      </c>
      <c r="BE45" s="440"/>
      <c r="BF45" s="404"/>
      <c r="BG45" s="440"/>
      <c r="BH45" s="436"/>
    </row>
    <row r="46" spans="1:60" s="10" customFormat="1" ht="94.5" customHeight="1" x14ac:dyDescent="0.25">
      <c r="A46" s="307" t="str">
        <f>+'Plan estratégico 2021-2024'!I45</f>
        <v>5.8.5</v>
      </c>
      <c r="B46" s="523" t="str">
        <f>+'Plan estratégico 2021-2024'!A41</f>
        <v>8. Trabajo decente y crecimiento económico.
16. Paz, justicia e instituciones sólidas.</v>
      </c>
      <c r="C46" s="523" t="str">
        <f>+'Plan estratégico 2021-2024'!B41</f>
        <v>Propósito 5
Logro de ciudad: 30</v>
      </c>
      <c r="D46" s="523" t="str">
        <f>+'Plan estratégico 2021-2024'!C41</f>
        <v>Gestión presupuestal y eficiencia del gasto público.</v>
      </c>
      <c r="E46" s="523" t="str">
        <f>+'Plan estratégico 2021-2024'!D41</f>
        <v>05 - Fortalecer la capacidad organizacional de Capital para ser una empresa transparente, eficiente y sostenible.</v>
      </c>
      <c r="F46" s="523" t="str">
        <f>+'Plan estratégico 2021-2024'!E41</f>
        <v>5.8. Plan estratégico financiero como mecanismo para la  optimización y eficiencia de los recursos económicos.</v>
      </c>
      <c r="G46" s="523" t="str">
        <f>+'Plan estratégico 2021-2024'!F41</f>
        <v>Lograr la optimización de los recursos anuales, alcanzando como mínimo un punto de equilibrio entre el ingreso y gasto</v>
      </c>
      <c r="H46" s="523" t="str">
        <f>+'Plan estratégico 2021-2024'!G41</f>
        <v>Valor recaudado en ingresos / Gastos comprometidos</v>
      </c>
      <c r="I46" s="523" t="str">
        <f>+'Plan estratégico 2021-2024'!H41</f>
        <v>2 Eficiencia: (uso de los recursos)</v>
      </c>
      <c r="J46" s="520" t="str">
        <f>+'Plan estratégico 2021-2024'!I45</f>
        <v>5.8.5</v>
      </c>
      <c r="K46" s="520" t="str">
        <f>+'Plan estratégico 2021-2024'!J41</f>
        <v>Finanzas para pensar</v>
      </c>
      <c r="L46" s="520" t="str">
        <f t="shared" si="0"/>
        <v>5.8.5 Finanzas para pensar</v>
      </c>
      <c r="M46" s="520" t="str">
        <f>+'Plan estratégico 2021-2024'!K41</f>
        <v>1. Generar resultados con superávit.
2.  Eficiencia y oportunidad en el pago de cuentas.
3. Eficiencia y oportunidad en la presentación de información contable
4. Cumplimiento de los tiempos establecidos para la facturación</v>
      </c>
      <c r="N46" s="520" t="str">
        <f>+'Plan estratégico 2021-2024'!L45</f>
        <v>Informe de cartera y soporte de envío de facturas.</v>
      </c>
      <c r="O46" s="518" t="str">
        <f>+'Plan estratégico 2021-2024'!M45</f>
        <v>Gestión de la cartera.</v>
      </c>
      <c r="P46" s="520" t="str">
        <f>+'Plan estratégico 2021-2024'!N45</f>
        <v>1 Eficacia: (cumplimiento de metas)</v>
      </c>
      <c r="Q46" s="520" t="str">
        <f>+'Plan estratégico 2021-2024'!O45</f>
        <v>Identificar las edades de cartera y oportunidad de recaudo de los diferentes clientes de la empresa.</v>
      </c>
      <c r="R46" s="520" t="str">
        <f>+'Plan estratégico 2021-2024'!P45</f>
        <v>Total Recaudo / Total servicios cobrados al cierre del trimestre acumulado * 100</v>
      </c>
      <c r="S46" s="520" t="s">
        <v>911</v>
      </c>
      <c r="T46" s="520" t="s">
        <v>913</v>
      </c>
      <c r="U46" s="520" t="str">
        <f>+'Plan estratégico 2021-2024'!Q45</f>
        <v>Porcentaje (%).</v>
      </c>
      <c r="V46" s="520" t="str">
        <f>+'Plan estratégico 2021-2024'!R41</f>
        <v>No aplica.</v>
      </c>
      <c r="W46" s="446">
        <f>+'Plan estratégico 2021-2024'!S45</f>
        <v>0.7</v>
      </c>
      <c r="X46" s="394">
        <f>+'Plan estratégico 2021-2024'!T45</f>
        <v>0.7</v>
      </c>
      <c r="Y46" s="394">
        <f>+'Plan estratégico 2021-2024'!U45</f>
        <v>0.7</v>
      </c>
      <c r="Z46" s="394">
        <f>+'Plan estratégico 2021-2024'!V45</f>
        <v>0.7</v>
      </c>
      <c r="AA46" s="395">
        <f>+'Plan estratégico 2021-2024'!W41</f>
        <v>390698364</v>
      </c>
      <c r="AB46" s="395">
        <f>+'Plan estratégico 2021-2024'!X41</f>
        <v>402419314.92000002</v>
      </c>
      <c r="AC46" s="395">
        <f>+'Plan estratégico 2021-2024'!Y41</f>
        <v>414491894.36760002</v>
      </c>
      <c r="AD46" s="395">
        <f>+'Plan estratégico 2021-2024'!Z41</f>
        <v>426926651.19862801</v>
      </c>
      <c r="AE46" s="520" t="str">
        <f>+'Plan estratégico 2021-2024'!AA45</f>
        <v>5. Elaborar informe de cartera.</v>
      </c>
      <c r="AF46" s="520" t="str">
        <f>+'Plan estratégico 2021-2024'!AB45</f>
        <v>Cumplimiento de las actividades de gestión, según su ponderación.</v>
      </c>
      <c r="AG46" s="520" t="str">
        <f>+'Plan estratégico 2021-2024'!AC45</f>
        <v>2 Eficiencia: (uso de los recursos)</v>
      </c>
      <c r="AH46" s="520" t="str">
        <f>+'Plan estratégico 2021-2024'!AD45</f>
        <v>Porcentaje (%)</v>
      </c>
      <c r="AI46" s="520" t="str">
        <f>+'Plan estratégico 2021-2024'!AE45</f>
        <v>Trimestral.</v>
      </c>
      <c r="AJ46" s="520" t="str">
        <f>+'Plan estratégico 2021-2024'!AF41</f>
        <v>El presupuesto distribuido corresponde con el valor global asignado al equipo de la Subdirección Financiera.</v>
      </c>
      <c r="AK46" s="520" t="str">
        <f>+'Plan estratégico 2021-2024'!AG41</f>
        <v>Subdirector Financiero</v>
      </c>
      <c r="AL46" s="520" t="str">
        <f>+'Plan estratégico 2021-2024'!AH45</f>
        <v>Profesional de Facturación</v>
      </c>
      <c r="AM46" s="698">
        <f>739131012/858469750</f>
        <v>0.86098667075922009</v>
      </c>
      <c r="AN46" s="698"/>
      <c r="AO46" s="698"/>
      <c r="AP46" s="698">
        <f>2618032131/2668223670</f>
        <v>0.98118915608000734</v>
      </c>
      <c r="AQ46" s="698"/>
      <c r="AR46" s="698"/>
      <c r="AS46" s="698">
        <f>1251275047/1450757252</f>
        <v>0.86249787500631425</v>
      </c>
      <c r="AT46" s="698"/>
      <c r="AU46" s="698"/>
      <c r="AV46" s="698"/>
      <c r="AW46" s="698"/>
      <c r="AX46" s="698"/>
      <c r="AY46" s="307" t="str">
        <f t="shared" si="1"/>
        <v>5.8.5</v>
      </c>
      <c r="AZ46" s="519" t="s">
        <v>1268</v>
      </c>
      <c r="BA46" s="519" t="s">
        <v>1269</v>
      </c>
      <c r="BB46" s="536" t="s">
        <v>1335</v>
      </c>
      <c r="BC46" s="411" t="s">
        <v>1006</v>
      </c>
      <c r="BE46" s="436"/>
      <c r="BF46" s="440"/>
      <c r="BG46" s="440"/>
      <c r="BH46" s="436"/>
    </row>
    <row r="47" spans="1:60" s="10" customFormat="1" ht="76.5" customHeight="1" x14ac:dyDescent="0.25">
      <c r="A47" s="307" t="str">
        <f>+'Plan estratégico 2021-2024'!I46</f>
        <v>5.8.6</v>
      </c>
      <c r="B47" s="523" t="str">
        <f>+'Plan estratégico 2021-2024'!A41</f>
        <v>8. Trabajo decente y crecimiento económico.
16. Paz, justicia e instituciones sólidas.</v>
      </c>
      <c r="C47" s="523" t="str">
        <f>+'Plan estratégico 2021-2024'!B41</f>
        <v>Propósito 5
Logro de ciudad: 30</v>
      </c>
      <c r="D47" s="523" t="str">
        <f>+'Plan estratégico 2021-2024'!C41</f>
        <v>Gestión presupuestal y eficiencia del gasto público.</v>
      </c>
      <c r="E47" s="523" t="str">
        <f>+'Plan estratégico 2021-2024'!D41</f>
        <v>05 - Fortalecer la capacidad organizacional de Capital para ser una empresa transparente, eficiente y sostenible.</v>
      </c>
      <c r="F47" s="523" t="str">
        <f>+'Plan estratégico 2021-2024'!E41</f>
        <v>5.8. Plan estratégico financiero como mecanismo para la  optimización y eficiencia de los recursos económicos.</v>
      </c>
      <c r="G47" s="523" t="str">
        <f>+'Plan estratégico 2021-2024'!F41</f>
        <v>Lograr la optimización de los recursos anuales, alcanzando como mínimo un punto de equilibrio entre el ingreso y gasto</v>
      </c>
      <c r="H47" s="523" t="str">
        <f>+'Plan estratégico 2021-2024'!G41</f>
        <v>Valor recaudado en ingresos / Gastos comprometidos</v>
      </c>
      <c r="I47" s="523" t="str">
        <f>+'Plan estratégico 2021-2024'!H41</f>
        <v>2 Eficiencia: (uso de los recursos)</v>
      </c>
      <c r="J47" s="520" t="str">
        <f>+'Plan estratégico 2021-2024'!I46</f>
        <v>5.8.6</v>
      </c>
      <c r="K47" s="520" t="str">
        <f>+'Plan estratégico 2021-2024'!J41</f>
        <v>Finanzas para pensar</v>
      </c>
      <c r="L47" s="520" t="str">
        <f t="shared" si="0"/>
        <v>5.8.6 Finanzas para pensar</v>
      </c>
      <c r="M47" s="520" t="str">
        <f>+'Plan estratégico 2021-2024'!K41</f>
        <v>1. Generar resultados con superávit.
2.  Eficiencia y oportunidad en el pago de cuentas.
3. Eficiencia y oportunidad en la presentación de información contable
4. Cumplimiento de los tiempos establecidos para la facturación</v>
      </c>
      <c r="N47" s="520" t="str">
        <f>+'Plan estratégico 2021-2024'!L46</f>
        <v>Piezas comunicativas sobre los diferentes productos que genera la subdirección financiera (Estados financieros, tips de facturación, estado de ingresos y gastos)</v>
      </c>
      <c r="O47" s="518" t="str">
        <f>+'Plan estratégico 2021-2024'!M46</f>
        <v>Gestión de las comunicaciones internas de la subdirección financiera</v>
      </c>
      <c r="P47" s="520" t="str">
        <f>+'Plan estratégico 2021-2024'!N46</f>
        <v>1 Eficacia: (cumplimiento de metas)</v>
      </c>
      <c r="Q47" s="520" t="str">
        <f>+'Plan estratégico 2021-2024'!O46</f>
        <v xml:space="preserve">Dar a conocer al interior de la entidad información relevante de los procesos y la gestión financiera. </v>
      </c>
      <c r="R47" s="520" t="str">
        <f>+'Plan estratégico 2021-2024'!P46</f>
        <v>Numero de piezas comunicativas realizadas / Numero de piezas comunicativas programadas para la vigencia (4)</v>
      </c>
      <c r="S47" s="520" t="s">
        <v>907</v>
      </c>
      <c r="T47" s="520" t="s">
        <v>914</v>
      </c>
      <c r="U47" s="520" t="str">
        <f>+'Plan estratégico 2021-2024'!Q46</f>
        <v>Número (#).</v>
      </c>
      <c r="V47" s="520" t="str">
        <f>+'Plan estratégico 2021-2024'!R41</f>
        <v>No aplica.</v>
      </c>
      <c r="W47" s="307">
        <f>+'Plan estratégico 2021-2024'!S46</f>
        <v>4</v>
      </c>
      <c r="X47" s="520">
        <f>+'Plan estratégico 2021-2024'!T46</f>
        <v>8</v>
      </c>
      <c r="Y47" s="520">
        <f>+'Plan estratégico 2021-2024'!U46</f>
        <v>8</v>
      </c>
      <c r="Z47" s="520">
        <f>+'Plan estratégico 2021-2024'!V46</f>
        <v>8</v>
      </c>
      <c r="AA47" s="395">
        <f>+'Plan estratégico 2021-2024'!W41</f>
        <v>390698364</v>
      </c>
      <c r="AB47" s="395">
        <f>+'Plan estratégico 2021-2024'!X41</f>
        <v>402419314.92000002</v>
      </c>
      <c r="AC47" s="395">
        <f>+'Plan estratégico 2021-2024'!Y41</f>
        <v>414491894.36760002</v>
      </c>
      <c r="AD47" s="395">
        <f>+'Plan estratégico 2021-2024'!Z41</f>
        <v>426926651.19862801</v>
      </c>
      <c r="AE47" s="520" t="str">
        <f>+'Plan estratégico 2021-2024'!AA46</f>
        <v xml:space="preserve">6. Suministrar insumo para piezas comunicativas          </v>
      </c>
      <c r="AF47" s="520" t="str">
        <f>+'Plan estratégico 2021-2024'!AB46</f>
        <v>Cumplimiento de las actividades de gestión, según su ponderación.</v>
      </c>
      <c r="AG47" s="520" t="str">
        <f>+'Plan estratégico 2021-2024'!AC46</f>
        <v>2 Eficiencia: (uso de los recursos)</v>
      </c>
      <c r="AH47" s="520" t="str">
        <f>+'Plan estratégico 2021-2024'!AD46</f>
        <v>Número (#)</v>
      </c>
      <c r="AI47" s="520" t="str">
        <f>+'Plan estratégico 2021-2024'!AE46</f>
        <v>Trimestral.</v>
      </c>
      <c r="AJ47" s="520" t="str">
        <f>+'Plan estratégico 2021-2024'!AF41</f>
        <v>El presupuesto distribuido corresponde con el valor global asignado al equipo de la Subdirección Financiera.</v>
      </c>
      <c r="AK47" s="520" t="str">
        <f>+'Plan estratégico 2021-2024'!AG41</f>
        <v>Subdirector Financiero</v>
      </c>
      <c r="AL47" s="520" t="str">
        <f>+'Plan estratégico 2021-2024'!AH46</f>
        <v>Subdirector Financiero</v>
      </c>
      <c r="AM47" s="698">
        <f>1/1</f>
        <v>1</v>
      </c>
      <c r="AN47" s="698"/>
      <c r="AO47" s="698"/>
      <c r="AP47" s="698">
        <f>1/1</f>
        <v>1</v>
      </c>
      <c r="AQ47" s="698"/>
      <c r="AR47" s="698"/>
      <c r="AS47" s="698">
        <f>1/1</f>
        <v>1</v>
      </c>
      <c r="AT47" s="698"/>
      <c r="AU47" s="698"/>
      <c r="AV47" s="698"/>
      <c r="AW47" s="698"/>
      <c r="AX47" s="698"/>
      <c r="AY47" s="307" t="str">
        <f t="shared" si="1"/>
        <v>5.8.6</v>
      </c>
      <c r="AZ47" s="519" t="s">
        <v>1270</v>
      </c>
      <c r="BA47" s="521" t="s">
        <v>1284</v>
      </c>
      <c r="BB47" s="521" t="s">
        <v>1336</v>
      </c>
      <c r="BC47" s="411" t="s">
        <v>1006</v>
      </c>
      <c r="BE47" s="440"/>
      <c r="BF47" s="440"/>
      <c r="BG47" s="440"/>
      <c r="BH47" s="436"/>
    </row>
    <row r="48" spans="1:60" s="368" customFormat="1" ht="286.5" customHeight="1" x14ac:dyDescent="0.2">
      <c r="A48" s="307" t="str">
        <f>+'Plan estratégico 2021-2024'!I47</f>
        <v>5.9.1</v>
      </c>
      <c r="B48" s="523" t="str">
        <f>+'Plan estratégico 2021-2024'!A47</f>
        <v>11. Ciudades y comunidades sostenibles.
17. Alianzas para lograr los objetivos.</v>
      </c>
      <c r="C48" s="523" t="str">
        <f>+'Plan estratégico 2021-2024'!B47</f>
        <v>Propósito 5
Logro de ciudad: 27 - 30</v>
      </c>
      <c r="D48" s="523" t="str">
        <f>+'Plan estratégico 2021-2024'!C47</f>
        <v>Fortalecimiento organizacional y simplificación de procesos.
Racionalización de trámites.</v>
      </c>
      <c r="E48" s="523" t="str">
        <f>+'Plan estratégico 2021-2024'!D47</f>
        <v>05 - Fortalecer la capacidad organizacional de Capital para ser una empresa transparente, eficiente y sostenible.</v>
      </c>
      <c r="F48" s="523" t="str">
        <f>+'Plan estratégico 2021-2024'!E47</f>
        <v>5.9. Sistematización de los procesos institucionales (contractual y financiero)</v>
      </c>
      <c r="G48" s="523"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8" s="523" t="str">
        <f>+'Plan estratégico 2021-2024'!G47</f>
        <v>1 software de gestión implementado</v>
      </c>
      <c r="I48" s="523" t="str">
        <f>+'Plan estratégico 2021-2024'!H47</f>
        <v>1 Eficacia: (cumplimiento de metas)</v>
      </c>
      <c r="J48" s="520" t="str">
        <f>+'Plan estratégico 2021-2024'!I47</f>
        <v>5.9.1</v>
      </c>
      <c r="K48" s="520" t="str">
        <f>+'Plan estratégico 2021-2024'!J47</f>
        <v>Implementación de las fases 1 y 2 del componente contractual en el software de gestión.</v>
      </c>
      <c r="L48" s="520" t="str">
        <f t="shared" si="0"/>
        <v>5.9.1 Implementación de las fases 1 y 2 del componente contractual en el software de gestión.</v>
      </c>
      <c r="M48" s="520" t="str">
        <f>+'Plan estratégico 2021-2024'!K47</f>
        <v>Implementar el componente contractual para uso interno de la Coordinación Jurídica para reparto y seguimiento a los abogados en el software de gestión.</v>
      </c>
      <c r="N48" s="520" t="str">
        <f>+'Plan estratégico 2021-2024'!L47</f>
        <v>Componente contractual implementado en fase 1 y 2 del software de gestión.</v>
      </c>
      <c r="O48" s="518" t="str">
        <f>+'Plan estratégico 2021-2024'!M47</f>
        <v>Creación e implementación de un módulo de gestión contractual en el software de gestión de Canal Capital.</v>
      </c>
      <c r="P48" s="518" t="str">
        <f>+'Plan estratégico 2021-2024'!N47</f>
        <v>1 Eficacia: (cumplimiento de metas)</v>
      </c>
      <c r="Q48" s="518" t="str">
        <f>+'Plan estratégico 2021-2024'!O47</f>
        <v>Implementar el componente contractual del software de gestión en la primera y segunda fases de desarrollo, a fin de iniciar con el reparto y control de contratos asignados a los abogados de la Coordinación Jurídica.</v>
      </c>
      <c r="R48" s="518" t="str">
        <f>+'Plan estratégico 2021-2024'!P47</f>
        <v>Porcentaje de avance en las actividades de gestión para la implementación del componente contractual / Porcentaje de avance programado para la vigencia.</v>
      </c>
      <c r="S48" s="519" t="s">
        <v>1107</v>
      </c>
      <c r="T48" s="519" t="s">
        <v>915</v>
      </c>
      <c r="U48" s="520" t="str">
        <f>+'Plan estratégico 2021-2024'!Q47</f>
        <v>Porcentaje (%).</v>
      </c>
      <c r="V48" s="520" t="str">
        <f>+'Plan estratégico 2021-2024'!R47</f>
        <v>No aplica.</v>
      </c>
      <c r="W48" s="307">
        <f>+'Plan estratégico 2021-2024'!S47</f>
        <v>1</v>
      </c>
      <c r="X48" s="520" t="str">
        <f>+'Plan estratégico 2021-2024'!T47</f>
        <v>-</v>
      </c>
      <c r="Y48" s="520" t="str">
        <f>+'Plan estratégico 2021-2024'!U47</f>
        <v>-</v>
      </c>
      <c r="Z48" s="520" t="str">
        <f>+'Plan estratégico 2021-2024'!V47</f>
        <v>-</v>
      </c>
      <c r="AA48" s="395">
        <f>+'Plan estratégico 2021-2024'!W47</f>
        <v>0</v>
      </c>
      <c r="AB48" s="395">
        <f>+'Plan estratégico 2021-2024'!X47</f>
        <v>0</v>
      </c>
      <c r="AC48" s="395">
        <f>+'Plan estratégico 2021-2024'!Y47</f>
        <v>0</v>
      </c>
      <c r="AD48" s="395">
        <f>+'Plan estratégico 2021-2024'!Z47</f>
        <v>0</v>
      </c>
      <c r="AE48" s="520" t="str">
        <f>+'Plan estratégico 2021-2024'!AA47</f>
        <v>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48" s="520" t="str">
        <f>+'Plan estratégico 2021-2024'!AB47</f>
        <v>Cumplimiento de las actividades de gestión, según su ponderación.</v>
      </c>
      <c r="AG48" s="520" t="str">
        <f>+'Plan estratégico 2021-2024'!AC47</f>
        <v>2 Eficiencia: (uso de los recursos)</v>
      </c>
      <c r="AH48" s="520" t="str">
        <f>+'Plan estratégico 2021-2024'!AD47</f>
        <v>Porcentaje (%)</v>
      </c>
      <c r="AI48" s="520" t="str">
        <f>+'Plan estratégico 2021-2024'!AE47</f>
        <v>Trimestral.</v>
      </c>
      <c r="AJ48" s="520" t="str">
        <f>+'Plan estratégico 2021-2024'!AF47</f>
        <v>Como quiera que el desarrollo del software es producto del trabajo conjunto de la secretaria general y el profesional universitario de Sistemas, la entidad no contempla erogación alguna para el mismo.</v>
      </c>
      <c r="AK48" s="520" t="str">
        <f>+'Plan estratégico 2021-2024'!AG47</f>
        <v>Secretaria General</v>
      </c>
      <c r="AL48" s="520" t="str">
        <f>+'Plan estratégico 2021-2024'!AH47</f>
        <v>Asesor(es) jurídico(s)</v>
      </c>
      <c r="AM48" s="693">
        <f>30/100</f>
        <v>0.3</v>
      </c>
      <c r="AN48" s="693"/>
      <c r="AO48" s="693"/>
      <c r="AP48" s="693">
        <f>48/100</f>
        <v>0.48</v>
      </c>
      <c r="AQ48" s="693"/>
      <c r="AR48" s="693"/>
      <c r="AS48" s="693">
        <f>100/100</f>
        <v>1</v>
      </c>
      <c r="AT48" s="693"/>
      <c r="AU48" s="693"/>
      <c r="AV48" s="693"/>
      <c r="AW48" s="693"/>
      <c r="AX48" s="693"/>
      <c r="AY48" s="307" t="str">
        <f t="shared" si="1"/>
        <v>5.9.1</v>
      </c>
      <c r="AZ48" s="519" t="s">
        <v>1271</v>
      </c>
      <c r="BA48" s="519" t="s">
        <v>1272</v>
      </c>
      <c r="BB48" s="536" t="s">
        <v>1326</v>
      </c>
      <c r="BC48" s="411" t="s">
        <v>1006</v>
      </c>
      <c r="BE48" s="404"/>
      <c r="BF48" s="440"/>
      <c r="BG48" s="440"/>
      <c r="BH48" s="436"/>
    </row>
    <row r="49" spans="1:60" s="368" customFormat="1" ht="187.5" customHeight="1" x14ac:dyDescent="0.2">
      <c r="A49" s="307" t="str">
        <f>+'Plan estratégico 2021-2024'!I48</f>
        <v>5.9.2</v>
      </c>
      <c r="B49" s="523" t="str">
        <f>+'Plan estratégico 2021-2024'!A47</f>
        <v>11. Ciudades y comunidades sostenibles.
17. Alianzas para lograr los objetivos.</v>
      </c>
      <c r="C49" s="523" t="str">
        <f>+'Plan estratégico 2021-2024'!B47</f>
        <v>Propósito 5
Logro de ciudad: 27 - 30</v>
      </c>
      <c r="D49" s="523" t="str">
        <f>+'Plan estratégico 2021-2024'!C47</f>
        <v>Fortalecimiento organizacional y simplificación de procesos.
Racionalización de trámites.</v>
      </c>
      <c r="E49" s="523" t="str">
        <f>+'Plan estratégico 2021-2024'!D47</f>
        <v>05 - Fortalecer la capacidad organizacional de Capital para ser una empresa transparente, eficiente y sostenible.</v>
      </c>
      <c r="F49" s="523" t="str">
        <f>+'Plan estratégico 2021-2024'!E47</f>
        <v>5.9. Sistematización de los procesos institucionales (contractual y financiero)</v>
      </c>
      <c r="G49" s="523"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9" s="523" t="str">
        <f>+'Plan estratégico 2021-2024'!G47</f>
        <v>1 software de gestión implementado</v>
      </c>
      <c r="I49" s="523" t="str">
        <f>+'Plan estratégico 2021-2024'!H47</f>
        <v>1 Eficacia: (cumplimiento de metas)</v>
      </c>
      <c r="J49" s="520" t="str">
        <f>+'Plan estratégico 2021-2024'!I48</f>
        <v>5.9.2</v>
      </c>
      <c r="K49" s="520" t="str">
        <f>+'Plan estratégico 2021-2024'!J48</f>
        <v>Implementación del módulo componente financiero en el software de la intranet de Capital</v>
      </c>
      <c r="L49" s="520" t="str">
        <f t="shared" si="0"/>
        <v>5.9.2 Implementación del módulo componente financiero en el software de la intranet de Capital</v>
      </c>
      <c r="M49" s="520" t="str">
        <f>+'Plan estratégico 2021-2024'!K48</f>
        <v>Implementar el módulo componente financiero para uso interno de la Subdirección Financiera</v>
      </c>
      <c r="N49" s="520" t="str">
        <f>+'Plan estratégico 2021-2024'!L48</f>
        <v>Despliegue por fases del módulo financiero sobre el software de la intranet</v>
      </c>
      <c r="O49" s="518" t="str">
        <f>+'Plan estratégico 2021-2024'!M48</f>
        <v>Implementación de las fases planeadas para el despliegue del módulo financiero</v>
      </c>
      <c r="P49" s="518" t="str">
        <f>+'Plan estratégico 2021-2024'!N48</f>
        <v>1 Eficacia: (cumplimiento de metas)</v>
      </c>
      <c r="Q49" s="518" t="str">
        <f>+'Plan estratégico 2021-2024'!O48</f>
        <v>Ejecutar las fases  1. Análisis, 2. Diseño, 3. Desarrollo, 4. Pruebas y 5. Despliegue del desarrollo, a fin de implementar el componente financiero del software de gestión</v>
      </c>
      <c r="R49" s="518" t="str">
        <f>+'Plan estratégico 2021-2024'!P48</f>
        <v>Porcentaje de avance en las fases de la implementación del componente financiero / Porcentaje de avance programado para la vigencia.</v>
      </c>
      <c r="S49" s="519" t="s">
        <v>1109</v>
      </c>
      <c r="T49" s="519" t="s">
        <v>915</v>
      </c>
      <c r="U49" s="520" t="str">
        <f>+'Plan estratégico 2021-2024'!Q48</f>
        <v>Porcentaje (%).</v>
      </c>
      <c r="V49" s="520" t="str">
        <f>+'Plan estratégico 2021-2024'!R48</f>
        <v>No aplica.</v>
      </c>
      <c r="W49" s="307">
        <f>+'Plan estratégico 2021-2024'!S48</f>
        <v>1</v>
      </c>
      <c r="X49" s="520" t="str">
        <f>+'Plan estratégico 2021-2024'!T48</f>
        <v>-</v>
      </c>
      <c r="Y49" s="520" t="str">
        <f>+'Plan estratégico 2021-2024'!U48</f>
        <v>-</v>
      </c>
      <c r="Z49" s="520" t="str">
        <f>+'Plan estratégico 2021-2024'!V48</f>
        <v>-</v>
      </c>
      <c r="AA49" s="395">
        <f>+'Plan estratégico 2021-2024'!W48</f>
        <v>0</v>
      </c>
      <c r="AB49" s="395">
        <f>+'Plan estratégico 2021-2024'!X48</f>
        <v>0</v>
      </c>
      <c r="AC49" s="395">
        <f>+'Plan estratégico 2021-2024'!Y48</f>
        <v>0</v>
      </c>
      <c r="AD49" s="395">
        <f>+'Plan estratégico 2021-2024'!Z48</f>
        <v>0</v>
      </c>
      <c r="AE49" s="520" t="str">
        <f>+'Plan estratégico 2021-2024'!AA48</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49" s="520" t="str">
        <f>+'Plan estratégico 2021-2024'!AB48</f>
        <v>Cumplimiento de las actividades de gestión, según su ponderación.</v>
      </c>
      <c r="AG49" s="520" t="str">
        <f>+'Plan estratégico 2021-2024'!AC48</f>
        <v>2 Eficiencia: (uso de los recursos)</v>
      </c>
      <c r="AH49" s="520" t="str">
        <f>+'Plan estratégico 2021-2024'!AD48</f>
        <v>Porcentaje (%)</v>
      </c>
      <c r="AI49" s="520" t="str">
        <f>+'Plan estratégico 2021-2024'!AE48</f>
        <v>Trimestral.</v>
      </c>
      <c r="AJ49" s="520" t="str">
        <f>+'Plan estratégico 2021-2024'!AF48</f>
        <v xml:space="preserve">Como quiera que el desarrollo del software es producto del trabajo conjunto entre el subdirector financiero y el profesional universitario de Sistemas, la entidad no contempla erogación alguna para el mismo. </v>
      </c>
      <c r="AK49" s="520" t="str">
        <f>+'Plan estratégico 2021-2024'!AG48</f>
        <v>Subdirector Financiero</v>
      </c>
      <c r="AL49" s="520" t="str">
        <f>+'Plan estratégico 2021-2024'!AH48</f>
        <v>Profesional de Sistemas</v>
      </c>
      <c r="AM49" s="703">
        <f>20/25</f>
        <v>0.8</v>
      </c>
      <c r="AN49" s="703"/>
      <c r="AO49" s="703"/>
      <c r="AP49" s="703">
        <f>20/25</f>
        <v>0.8</v>
      </c>
      <c r="AQ49" s="703"/>
      <c r="AR49" s="703"/>
      <c r="AS49" s="703">
        <f>70/90</f>
        <v>0.77777777777777779</v>
      </c>
      <c r="AT49" s="703"/>
      <c r="AU49" s="703"/>
      <c r="AV49" s="407"/>
      <c r="AW49" s="407"/>
      <c r="AX49" s="407"/>
      <c r="AY49" s="307" t="str">
        <f t="shared" si="1"/>
        <v>5.9.2</v>
      </c>
      <c r="AZ49" s="519" t="s">
        <v>1002</v>
      </c>
      <c r="BA49" s="519" t="s">
        <v>1226</v>
      </c>
      <c r="BB49" s="536" t="s">
        <v>1337</v>
      </c>
      <c r="BC49" s="411" t="s">
        <v>1005</v>
      </c>
      <c r="BE49" s="436"/>
      <c r="BF49" s="404"/>
      <c r="BG49" s="404"/>
      <c r="BH49" s="436"/>
    </row>
    <row r="50" spans="1:60" s="368" customFormat="1" ht="160.5" customHeight="1" x14ac:dyDescent="0.2">
      <c r="A50" s="307" t="str">
        <f>+'Plan estratégico 2021-2024'!I49</f>
        <v>5.10.1</v>
      </c>
      <c r="B50" s="523" t="str">
        <f>+'Plan estratégico 2021-2024'!A49</f>
        <v>11. Ciudades y comunidades sostenibles.
17. Alianzas para lograr los objetivos.</v>
      </c>
      <c r="C50" s="523" t="str">
        <f>+'Plan estratégico 2021-2024'!B49</f>
        <v>Propósito 5
Logro de ciudad: 30</v>
      </c>
      <c r="D50" s="523" t="str">
        <f>+'Plan estratégico 2021-2024'!C49</f>
        <v>Fortalecimiento organizacional y simplificación de procesos.</v>
      </c>
      <c r="E50" s="523" t="str">
        <f>+'Plan estratégico 2021-2024'!D49</f>
        <v>05 - Fortalecer la capacidad organizacional de Capital para ser una empresa transparente, eficiente y sostenible.</v>
      </c>
      <c r="F50" s="523" t="str">
        <f>+'Plan estratégico 2021-2024'!E49</f>
        <v>5.10. Mejoramiento del régimen de contratación y de los documentos de la gestión contractual</v>
      </c>
      <c r="G50" s="523" t="str">
        <f>+'Plan estratégico 2021-2024'!F49</f>
        <v>Mantener actualizada la información del proceso de gestión jurídica y contractual de acuerdo con el régimen de contratación aplicable.</v>
      </c>
      <c r="H50" s="523" t="str">
        <f>+'Plan estratégico 2021-2024'!G49</f>
        <v>Revisión y actualización del manual de contratación</v>
      </c>
      <c r="I50" s="523" t="str">
        <f>+'Plan estratégico 2021-2024'!H49</f>
        <v>2 Eficiencia: (uso de los recursos)</v>
      </c>
      <c r="J50" s="520" t="str">
        <f>+'Plan estratégico 2021-2024'!I49</f>
        <v>5.10.1</v>
      </c>
      <c r="K50" s="520" t="str">
        <f>+'Plan estratégico 2021-2024'!J49</f>
        <v xml:space="preserve">Revisión y actualización, de ser necesario, del Manual de contratación, supervisión e interventoría </v>
      </c>
      <c r="L50" s="520" t="str">
        <f t="shared" si="0"/>
        <v xml:space="preserve">5.10.1 Revisión y actualización, de ser necesario, del Manual de contratación, supervisión e interventoría </v>
      </c>
      <c r="M50" s="520" t="str">
        <f>+'Plan estratégico 2021-2024'!K49</f>
        <v>Revisar y actualizar, de ser necesario, el Manual de contratación, supervisión e interventoría de conformidad con el régimen contractual aplicable a la entidad</v>
      </c>
      <c r="N50" s="520" t="str">
        <f>+'Plan estratégico 2021-2024'!L49</f>
        <v>Manual de contratación, supervisión e interventoría revisado y actualizado, de ser necesario</v>
      </c>
      <c r="O50" s="518" t="str">
        <f>+'Plan estratégico 2021-2024'!M49</f>
        <v>Cumplimiento en la revisión y actualización (si es requerido) del Manual de contratación, supervisión e interventoría</v>
      </c>
      <c r="P50" s="518" t="str">
        <f>+'Plan estratégico 2021-2024'!N49</f>
        <v>1 Eficacia: (cumplimiento de metas)</v>
      </c>
      <c r="Q50" s="518" t="str">
        <f>+'Plan estratégico 2021-2024'!O49</f>
        <v>Revisar el Manual de contratación, supervisión e interventoría y adelantar los ajustes y actualizaciones que se consideren pertinentes y oportunos.</v>
      </c>
      <c r="R50" s="518" t="str">
        <f>+'Plan estratégico 2021-2024'!P49</f>
        <v>Porcentaje de avance en la revisión y actualización del Manual de contratación, supervisión e interventoría / Porcentaje de avance programado para la vigencia.</v>
      </c>
      <c r="S50" s="519" t="s">
        <v>1112</v>
      </c>
      <c r="T50" s="519" t="s">
        <v>1114</v>
      </c>
      <c r="U50" s="520" t="str">
        <f>+'Plan estratégico 2021-2024'!Q49</f>
        <v>Porcentaje (%).</v>
      </c>
      <c r="V50" s="520" t="str">
        <f>+'Plan estratégico 2021-2024'!R49</f>
        <v>No aplica.</v>
      </c>
      <c r="W50" s="307">
        <f>+'Plan estratégico 2021-2024'!S49</f>
        <v>1</v>
      </c>
      <c r="X50" s="520">
        <f>+'Plan estratégico 2021-2024'!T49</f>
        <v>1</v>
      </c>
      <c r="Y50" s="520">
        <f>+'Plan estratégico 2021-2024'!U49</f>
        <v>1</v>
      </c>
      <c r="Z50" s="520">
        <f>+'Plan estratégico 2021-2024'!V49</f>
        <v>1</v>
      </c>
      <c r="AA50" s="395">
        <f>+'Plan estratégico 2021-2024'!W49</f>
        <v>175882800</v>
      </c>
      <c r="AB50" s="395">
        <f>+'Plan estratégico 2021-2024'!X49</f>
        <v>181159284</v>
      </c>
      <c r="AC50" s="395">
        <f>+'Plan estratégico 2021-2024'!Y49</f>
        <v>186594062.52000001</v>
      </c>
      <c r="AD50" s="395">
        <f>+'Plan estratégico 2021-2024'!Z49</f>
        <v>192191884.39560002</v>
      </c>
      <c r="AE50" s="520" t="str">
        <f>+'Plan estratégico 2021-2024'!AA49</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0" s="520" t="str">
        <f>+'Plan estratégico 2021-2024'!AB49</f>
        <v>(Actividades/5)*100%</v>
      </c>
      <c r="AG50" s="520" t="str">
        <f>+'Plan estratégico 2021-2024'!AC49</f>
        <v>2 Eficiencia: (uso de los recursos)</v>
      </c>
      <c r="AH50" s="520" t="str">
        <f>+'Plan estratégico 2021-2024'!AD49</f>
        <v>Porcentaje (%)</v>
      </c>
      <c r="AI50" s="520" t="str">
        <f>+'Plan estratégico 2021-2024'!AE49</f>
        <v>Trimestral.</v>
      </c>
      <c r="AJ50" s="520" t="str">
        <f>+'Plan estratégico 2021-2024'!AF49</f>
        <v>Los costos asociados para las vigencias 2021 - 2024 corresponden a los honorarios de la asesora jurídica con el incremento respectivo</v>
      </c>
      <c r="AK50" s="520" t="str">
        <f>+'Plan estratégico 2021-2024'!AG49</f>
        <v>Secretaria General</v>
      </c>
      <c r="AL50" s="520" t="str">
        <f>+'Plan estratégico 2021-2024'!AH49</f>
        <v>Asesor(es) jurídico(s)</v>
      </c>
      <c r="AM50" s="693">
        <f>100/100</f>
        <v>1</v>
      </c>
      <c r="AN50" s="693"/>
      <c r="AO50" s="693"/>
      <c r="AP50" s="693">
        <f>100/100</f>
        <v>1</v>
      </c>
      <c r="AQ50" s="693"/>
      <c r="AR50" s="693"/>
      <c r="AS50" s="693">
        <f>100/100</f>
        <v>1</v>
      </c>
      <c r="AT50" s="693"/>
      <c r="AU50" s="693"/>
      <c r="AV50" s="693"/>
      <c r="AW50" s="693"/>
      <c r="AX50" s="693"/>
      <c r="AY50" s="307" t="str">
        <f t="shared" si="1"/>
        <v>5.10.1</v>
      </c>
      <c r="AZ50" s="519" t="s">
        <v>987</v>
      </c>
      <c r="BA50" s="519" t="s">
        <v>1214</v>
      </c>
      <c r="BB50" s="536" t="s">
        <v>1327</v>
      </c>
      <c r="BC50" s="411" t="s">
        <v>1006</v>
      </c>
      <c r="BE50" s="440"/>
      <c r="BF50" s="440"/>
      <c r="BG50" s="404"/>
      <c r="BH50" s="436"/>
    </row>
    <row r="51" spans="1:60" s="368" customFormat="1" ht="240.75" customHeight="1" x14ac:dyDescent="0.2">
      <c r="A51" s="307" t="str">
        <f>+'Plan estratégico 2021-2024'!I50</f>
        <v>5.11.1</v>
      </c>
      <c r="B51" s="523" t="str">
        <f>+'Plan estratégico 2021-2024'!A50</f>
        <v>11. Ciudades y comunidades sostenibles.
17. Alianzas para lograr los objetivos.</v>
      </c>
      <c r="C51" s="523" t="str">
        <f>+'Plan estratégico 2021-2024'!B50</f>
        <v>Propósito 5
Logro de ciudad: 30</v>
      </c>
      <c r="D51" s="523" t="str">
        <f>+'Plan estratégico 2021-2024'!C50</f>
        <v>Fortalecimiento organizacional y simplificación de procesos.</v>
      </c>
      <c r="E51" s="523" t="str">
        <f>+'Plan estratégico 2021-2024'!D50</f>
        <v>05 - Fortalecer la capacidad organizacional de Capital para ser una empresa transparente, eficiente y sostenible.</v>
      </c>
      <c r="F51" s="523" t="str">
        <f>+'Plan estratégico 2021-2024'!E50</f>
        <v>5.11. Fortalecimiento de las funciones de la gestión disciplinaria</v>
      </c>
      <c r="G51" s="523" t="str">
        <f>+'Plan estratégico 2021-2024'!F50</f>
        <v>Documentar y mantener actualizada la información de procesos disciplinarios a cargo de la entidad, para facilitar su gestión.</v>
      </c>
      <c r="H51" s="523" t="str">
        <f>+'Plan estratégico 2021-2024'!G50</f>
        <v>100% del procedimiento y de la información del sistema distrital de información disciplinaria actualizadas.</v>
      </c>
      <c r="I51" s="523" t="str">
        <f>+'Plan estratégico 2021-2024'!H50</f>
        <v>2 Eficiencia: (uso de los recursos)</v>
      </c>
      <c r="J51" s="520" t="str">
        <f>+'Plan estratégico 2021-2024'!I50</f>
        <v>5.11.1</v>
      </c>
      <c r="K51" s="520" t="str">
        <f>+'Plan estratégico 2021-2024'!J50</f>
        <v>Actualización de la información sobre procesos disciplinarios.</v>
      </c>
      <c r="L51" s="520" t="str">
        <f t="shared" si="0"/>
        <v>5.11.1 Actualización de la información sobre procesos disciplinarios.</v>
      </c>
      <c r="M51" s="520" t="str">
        <f>+'Plan estratégico 2021-2024'!K50</f>
        <v>Gestionar y mantener actualizada la información sobre procesos disciplinarios en el sistema distrital de información disciplinaria del distrito capital.</v>
      </c>
      <c r="N51" s="520" t="str">
        <f>+'Plan estratégico 2021-2024'!L50</f>
        <v>Sistema distrital de información disciplinaria actualizada</v>
      </c>
      <c r="O51" s="518" t="str">
        <f>+'Plan estratégico 2021-2024'!M50</f>
        <v>Cumplimiento en el cargue y actualización del Sistema distrital de información disciplinaria</v>
      </c>
      <c r="P51" s="518" t="str">
        <f>+'Plan estratégico 2021-2024'!N50</f>
        <v>1 Eficacia: (cumplimiento de metas)</v>
      </c>
      <c r="Q51" s="518" t="str">
        <f>+'Plan estratégico 2021-2024'!O50</f>
        <v>Contar con información completa en la plataforma que permita adelantar seguimientos respecto a los procesos disciplinarios que adelanta la entidad.</v>
      </c>
      <c r="R51" s="518" t="str">
        <f>+'Plan estratégico 2021-2024'!P50</f>
        <v>Porcentaje de procesos disciplinarios cargados en el sistema de información / 100% de información requerida para cargar en el sistema de información disciplinaria</v>
      </c>
      <c r="S51" s="520" t="s">
        <v>917</v>
      </c>
      <c r="T51" s="520" t="s">
        <v>916</v>
      </c>
      <c r="U51" s="520" t="str">
        <f>+'Plan estratégico 2021-2024'!Q50</f>
        <v>Porcentaje (%).</v>
      </c>
      <c r="V51" s="520" t="str">
        <f>+'Plan estratégico 2021-2024'!R50</f>
        <v>No aplica.</v>
      </c>
      <c r="W51" s="446">
        <f>+'Plan estratégico 2021-2024'!S50</f>
        <v>1</v>
      </c>
      <c r="X51" s="394">
        <f>+'Plan estratégico 2021-2024'!T50</f>
        <v>1</v>
      </c>
      <c r="Y51" s="394">
        <f>+'Plan estratégico 2021-2024'!U50</f>
        <v>1</v>
      </c>
      <c r="Z51" s="394">
        <f>+'Plan estratégico 2021-2024'!V50</f>
        <v>1</v>
      </c>
      <c r="AA51" s="395">
        <f>+'Plan estratégico 2021-2024'!W50</f>
        <v>166235367</v>
      </c>
      <c r="AB51" s="395">
        <f>+'Plan estratégico 2021-2024'!X50</f>
        <v>171222428.00999999</v>
      </c>
      <c r="AC51" s="395">
        <f>+'Plan estratégico 2021-2024'!Y50</f>
        <v>176359100.85029998</v>
      </c>
      <c r="AD51" s="395">
        <f>+'Plan estratégico 2021-2024'!Z50</f>
        <v>181649873.87580898</v>
      </c>
      <c r="AE51" s="520" t="str">
        <f>+'Plan estratégico 2021-2024'!AA50</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1" s="520" t="str">
        <f>+'Plan estratégico 2021-2024'!AB50</f>
        <v>* Capacitaciones realizadas / 1.
* número de procesos registrados / número de procesos recibidos.
* % de avance en la actualización de los procedimientos asociados a los procesos disciplinarios.</v>
      </c>
      <c r="AG51" s="520" t="str">
        <f>+'Plan estratégico 2021-2024'!AC50</f>
        <v>2 Eficiencia: (uso de los recursos)</v>
      </c>
      <c r="AH51" s="520" t="str">
        <f>+'Plan estratégico 2021-2024'!AD50</f>
        <v>Porcentaje (%)</v>
      </c>
      <c r="AI51" s="520" t="str">
        <f>+'Plan estratégico 2021-2024'!AE50</f>
        <v>Trimestral.</v>
      </c>
      <c r="AJ51" s="520" t="str">
        <f>+'Plan estratégico 2021-2024'!AF50</f>
        <v>Los costos asociados son los relacionados con la gestión adelantada por los abogados externos de la entidad.</v>
      </c>
      <c r="AK51" s="520" t="str">
        <f>+'Plan estratégico 2021-2024'!AG50</f>
        <v>Secretaria General</v>
      </c>
      <c r="AL51" s="520" t="str">
        <f>+'Plan estratégico 2021-2024'!AH50</f>
        <v>Profesional de Jurídica</v>
      </c>
      <c r="AM51" s="703">
        <f>0/100</f>
        <v>0</v>
      </c>
      <c r="AN51" s="703"/>
      <c r="AO51" s="703"/>
      <c r="AP51" s="703">
        <f>0/100</f>
        <v>0</v>
      </c>
      <c r="AQ51" s="703"/>
      <c r="AR51" s="703"/>
      <c r="AS51" s="703">
        <f>50/100</f>
        <v>0.5</v>
      </c>
      <c r="AT51" s="703"/>
      <c r="AU51" s="703"/>
      <c r="AV51" s="703"/>
      <c r="AW51" s="703"/>
      <c r="AX51" s="703"/>
      <c r="AY51" s="307" t="str">
        <f t="shared" si="1"/>
        <v>5.11.1</v>
      </c>
      <c r="AZ51" s="519" t="s">
        <v>988</v>
      </c>
      <c r="BA51" s="519" t="s">
        <v>1215</v>
      </c>
      <c r="BB51" s="536" t="s">
        <v>1328</v>
      </c>
      <c r="BC51" s="411" t="s">
        <v>1004</v>
      </c>
      <c r="BE51" s="440"/>
      <c r="BF51" s="440"/>
      <c r="BG51" s="404"/>
      <c r="BH51" s="436"/>
    </row>
    <row r="52" spans="1:60" s="368" customFormat="1" ht="180.75" customHeight="1" x14ac:dyDescent="0.2">
      <c r="A52" s="307" t="str">
        <f>+'Plan estratégico 2021-2024'!I51</f>
        <v>5.12.1</v>
      </c>
      <c r="B52" s="523" t="str">
        <f>+'Plan estratégico 2021-2024'!A51</f>
        <v>11. Ciudades y comunidades sostenibles.
17. Alianzas para lograr los objetivos.</v>
      </c>
      <c r="C52" s="523" t="str">
        <f>+'Plan estratégico 2021-2024'!B51</f>
        <v>Propósito 5
Logro de ciudad: 30</v>
      </c>
      <c r="D52" s="523" t="str">
        <f>+'Plan estratégico 2021-2024'!C51</f>
        <v>Defensa jurídica.</v>
      </c>
      <c r="E52" s="523" t="str">
        <f>+'Plan estratégico 2021-2024'!D51</f>
        <v>05 - Fortalecer la capacidad organizacional de Capital para ser una empresa transparente, eficiente y sostenible.</v>
      </c>
      <c r="F52" s="523" t="str">
        <f>+'Plan estratégico 2021-2024'!E51</f>
        <v>5.12. Fortalecimiento de la defensa jurídica</v>
      </c>
      <c r="G52" s="523" t="str">
        <f>+'Plan estratégico 2021-2024'!F51</f>
        <v>Capacitar en asuntos relacionados con la política de prevención de daño antijurídico.</v>
      </c>
      <c r="H52" s="523" t="str">
        <f>+'Plan estratégico 2021-2024'!G51</f>
        <v>2 capacitaciones</v>
      </c>
      <c r="I52" s="523" t="str">
        <f>+'Plan estratégico 2021-2024'!H51</f>
        <v>1 Eficacia: (cumplimiento de metas)</v>
      </c>
      <c r="J52" s="520" t="str">
        <f>+'Plan estratégico 2021-2024'!I51</f>
        <v>5.12.1</v>
      </c>
      <c r="K52" s="520" t="str">
        <f>+'Plan estratégico 2021-2024'!J51</f>
        <v>Capacitación en asuntos relacionados con la política de prevención de daño antijurídico.</v>
      </c>
      <c r="L52" s="520" t="str">
        <f t="shared" si="0"/>
        <v>5.12.1 Capacitación en asuntos relacionados con la política de prevención de daño antijurídico.</v>
      </c>
      <c r="M52" s="520" t="str">
        <f>+'Plan estratégico 2021-2024'!K51</f>
        <v>Capacitar a los supervisores a fin de evitar  que con sus conductas se generen daños antijurídicos</v>
      </c>
      <c r="N52" s="520" t="str">
        <f>+'Plan estratégico 2021-2024'!L51</f>
        <v>2 capacitaciones</v>
      </c>
      <c r="O52" s="518" t="str">
        <f>+'Plan estratégico 2021-2024'!M51</f>
        <v>Realización de capacitaciones en asuntos relacionados con la política de prevención de daño antijurídico.</v>
      </c>
      <c r="P52" s="518" t="str">
        <f>+'Plan estratégico 2021-2024'!N51</f>
        <v>1 Eficacia: (cumplimiento de metas)</v>
      </c>
      <c r="Q52" s="518" t="str">
        <f>+'Plan estratégico 2021-2024'!O51</f>
        <v>Suministrar herramientas para adelantar una adecuada supervisión a fin de evitar daños antijurídicos</v>
      </c>
      <c r="R52" s="518" t="str">
        <f>+'Plan estratégico 2021-2024'!P51</f>
        <v>Número de capacitaciones realizadas / Número de capacitaciones programadas</v>
      </c>
      <c r="S52" s="365" t="s">
        <v>1195</v>
      </c>
      <c r="T52" s="519" t="s">
        <v>1273</v>
      </c>
      <c r="U52" s="520" t="str">
        <f>+'Plan estratégico 2021-2024'!Q51</f>
        <v>Número (#).</v>
      </c>
      <c r="V52" s="520" t="str">
        <f>+'Plan estratégico 2021-2024'!R51</f>
        <v>No aplica.</v>
      </c>
      <c r="W52" s="535">
        <f>+'Plan estratégico 2021-2024'!S51</f>
        <v>2</v>
      </c>
      <c r="X52" s="504">
        <f>+'Plan estratégico 2021-2024'!T51</f>
        <v>2</v>
      </c>
      <c r="Y52" s="504">
        <f>+'Plan estratégico 2021-2024'!U51</f>
        <v>2</v>
      </c>
      <c r="Z52" s="504">
        <f>+'Plan estratégico 2021-2024'!V51</f>
        <v>2</v>
      </c>
      <c r="AA52" s="395">
        <v>0</v>
      </c>
      <c r="AB52" s="395">
        <v>0</v>
      </c>
      <c r="AC52" s="395">
        <v>0</v>
      </c>
      <c r="AD52" s="395">
        <v>0</v>
      </c>
      <c r="AE52" s="520" t="str">
        <f>+'Plan estratégico 2021-2024'!AA51</f>
        <v>1. Convocar a  supervisores y apoyos a la supervisión a las capacitaciones
2. Capacitar en asuntos relacionados con la política de prevención de daño antijurídico</v>
      </c>
      <c r="AF52" s="520" t="str">
        <f>+'Plan estratégico 2021-2024'!AB51</f>
        <v>(Actividades/2)*100%</v>
      </c>
      <c r="AG52" s="520" t="str">
        <f>+'Plan estratégico 2021-2024'!AC51</f>
        <v>2 Eficiencia: (uso de los recursos)</v>
      </c>
      <c r="AH52" s="520" t="str">
        <f>+'Plan estratégico 2021-2024'!AD51</f>
        <v>Porcentaje (%)</v>
      </c>
      <c r="AI52" s="520" t="str">
        <f>+'Plan estratégico 2021-2024'!AE51</f>
        <v>Semestral.</v>
      </c>
      <c r="AJ52" s="520" t="str">
        <f>+'Plan estratégico 2021-2024'!AF51</f>
        <v>La entidad no contempla erogación.</v>
      </c>
      <c r="AK52" s="520" t="str">
        <f>+'Plan estratégico 2021-2024'!AG51</f>
        <v>Secretaria General</v>
      </c>
      <c r="AL52" s="520" t="str">
        <f>+'Plan estratégico 2021-2024'!AH51</f>
        <v>Profesional de Jurídica</v>
      </c>
      <c r="AM52" s="703">
        <f>1/2</f>
        <v>0.5</v>
      </c>
      <c r="AN52" s="703"/>
      <c r="AO52" s="703"/>
      <c r="AP52" s="703"/>
      <c r="AQ52" s="703"/>
      <c r="AR52" s="703"/>
      <c r="AS52" s="703" t="s">
        <v>40</v>
      </c>
      <c r="AT52" s="703"/>
      <c r="AU52" s="703"/>
      <c r="AV52" s="703"/>
      <c r="AW52" s="703"/>
      <c r="AX52" s="703"/>
      <c r="AY52" s="307" t="str">
        <f t="shared" si="1"/>
        <v>5.12.1</v>
      </c>
      <c r="AZ52" s="519" t="s">
        <v>989</v>
      </c>
      <c r="BA52" s="519" t="s">
        <v>1216</v>
      </c>
      <c r="BB52" s="536" t="s">
        <v>1329</v>
      </c>
      <c r="BC52" s="411" t="s">
        <v>1005</v>
      </c>
      <c r="BE52" s="440" t="s">
        <v>1066</v>
      </c>
      <c r="BF52" s="440" t="s">
        <v>1065</v>
      </c>
      <c r="BG52" s="404" t="s">
        <v>1067</v>
      </c>
      <c r="BH52" s="436" t="s">
        <v>1023</v>
      </c>
    </row>
    <row r="53" spans="1:60" s="368" customFormat="1" ht="143.25" customHeight="1" x14ac:dyDescent="0.2">
      <c r="A53" s="307" t="str">
        <f>+'Plan estratégico 2021-2024'!I52</f>
        <v>5.13.1</v>
      </c>
      <c r="B53" s="523" t="str">
        <f>+'Plan estratégico 2021-2024'!A52</f>
        <v>16. Paz, justicia e instituciones sólidas.</v>
      </c>
      <c r="C53" s="523" t="str">
        <f>+'Plan estratégico 2021-2024'!B52</f>
        <v>Propósito 1
Logro de ciudad: 3
Propósito 3
Logro de ciudad: 23
Propósito 5
Logros de ciudad: 27 - 30</v>
      </c>
      <c r="D53" s="523" t="str">
        <f>+'Plan estratégico 2021-2024'!C52</f>
        <v>Servicio al ciudadano
Participación Ciudadana en la Gestión Pública</v>
      </c>
      <c r="E53" s="523" t="str">
        <f>+'Plan estratégico 2021-2024'!D52</f>
        <v>05 - Fortalecer la capacidad organizacional de Capital para ser una empresa transparente, eficiente y sostenible.</v>
      </c>
      <c r="F53" s="523" t="str">
        <f>+'Plan estratégico 2021-2024'!E52</f>
        <v>5.13. Fortalecer las herramientas y procesos en la gestión de la Atención al Ciudadano.</v>
      </c>
      <c r="G53" s="523" t="str">
        <f>+'Plan estratégico 2021-2024'!F52</f>
        <v>Implementar el Plan de Acción de la Política Institucional de Servicio al Ciudadano.</v>
      </c>
      <c r="H53" s="523" t="str">
        <f>+'Plan estratégico 2021-2024'!G52</f>
        <v>Porcentaje promedio de Cumplimiento de las actividades anuales del Plan de Acción de la Política Institucional de Servicio al Ciudadano.</v>
      </c>
      <c r="I53" s="523" t="str">
        <f>+'Plan estratégico 2021-2024'!H52</f>
        <v>2 Eficiencia: (uso de los recursos)</v>
      </c>
      <c r="J53" s="520" t="str">
        <f>+'Plan estratégico 2021-2024'!I52</f>
        <v>5.13.1</v>
      </c>
      <c r="K53" s="520" t="str">
        <f>+'Plan estratégico 2021-2024'!J52</f>
        <v>Plan de Acción de la Política Institucional de Servicio al Ciudadano.</v>
      </c>
      <c r="L53" s="520" t="str">
        <f t="shared" si="0"/>
        <v>5.13.1 Plan de Acción de la Política Institucional de Servicio al Ciudadano.</v>
      </c>
      <c r="M53" s="520" t="str">
        <f>+'Plan estratégico 2021-2024'!K52</f>
        <v>Fortalecer y mejorar la atención que se brinda al ciudadano, garantizando la calidad del servicio que presta la entidad.</v>
      </c>
      <c r="N53" s="520" t="str">
        <f>+'Plan estratégico 2021-2024'!L52</f>
        <v>Matriz diligenciada del modelo de seguimiento y medición a la prestación del servicio (Plan de Acción)</v>
      </c>
      <c r="O53" s="520" t="str">
        <f>+'Plan estratégico 2021-2024'!M52</f>
        <v>Cumplimiento al Plan de Acción de la Política Institucional de Servicio al Ciudadano</v>
      </c>
      <c r="P53" s="520" t="str">
        <f>+'Plan estratégico 2021-2024'!N52</f>
        <v>1 Eficacia: (cumplimiento de metas)</v>
      </c>
      <c r="Q53" s="520" t="str">
        <f>+'Plan estratégico 2021-2024'!O52</f>
        <v>Realizar el seguimiento al cumplimiento de las actividades de mejora propuestas en el Plan de Acción.</v>
      </c>
      <c r="R53" s="520" t="str">
        <f>+'Plan estratégico 2021-2024'!P52</f>
        <v>(Porcentaje de avances en el cumplimiento de las acciones programadas en el Plan de Acción de Servicio a la Ciudadanía / Porcentaje total de acciones programadas en el Plan de Acción de Servicio a la Ciudadanía)*100%</v>
      </c>
      <c r="S53" s="518" t="s">
        <v>918</v>
      </c>
      <c r="T53" s="518" t="s">
        <v>919</v>
      </c>
      <c r="U53" s="520" t="str">
        <f>+'Plan estratégico 2021-2024'!Q52</f>
        <v>Porcentaje (%).</v>
      </c>
      <c r="V53" s="520" t="str">
        <f>+'Plan estratégico 2021-2024'!R52</f>
        <v>No aplica.</v>
      </c>
      <c r="W53" s="446">
        <f>+'Plan estratégico 2021-2024'!S52</f>
        <v>0.8</v>
      </c>
      <c r="X53" s="394">
        <f>+'Plan estratégico 2021-2024'!T52</f>
        <v>0.85</v>
      </c>
      <c r="Y53" s="394">
        <f>+'Plan estratégico 2021-2024'!U52</f>
        <v>0.9</v>
      </c>
      <c r="Z53" s="394">
        <f>+'Plan estratégico 2021-2024'!V52</f>
        <v>0.95</v>
      </c>
      <c r="AA53" s="395" t="str">
        <f>+'Plan estratégico 2021-2024'!W52</f>
        <v>-</v>
      </c>
      <c r="AB53" s="395" t="str">
        <f>+'Plan estratégico 2021-2024'!X52</f>
        <v>-</v>
      </c>
      <c r="AC53" s="395" t="str">
        <f>+'Plan estratégico 2021-2024'!Y52</f>
        <v>-</v>
      </c>
      <c r="AD53" s="395" t="str">
        <f>+'Plan estratégico 2021-2024'!Z52</f>
        <v>-</v>
      </c>
      <c r="AE53" s="520" t="str">
        <f>+'Plan estratégico 2021-2024'!AA52</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3" s="520" t="str">
        <f>+'Plan estratégico 2021-2024'!AB52</f>
        <v>Cumplimiento de las actividades de gestión, según su ponderación.</v>
      </c>
      <c r="AG53" s="520" t="str">
        <f>+'Plan estratégico 2021-2024'!AC52</f>
        <v>2 Eficiencia: (uso de los recursos)</v>
      </c>
      <c r="AH53" s="520" t="str">
        <f>+'Plan estratégico 2021-2024'!AD52</f>
        <v>Porcentaje (%)</v>
      </c>
      <c r="AI53" s="520" t="str">
        <f>+'Plan estratégico 2021-2024'!AE52</f>
        <v>Trimestral.</v>
      </c>
      <c r="AJ53" s="520" t="str">
        <f>+'Plan estratégico 2021-2024'!AF52</f>
        <v>No aplica.</v>
      </c>
      <c r="AK53" s="520" t="str">
        <f>+'Plan estratégico 2021-2024'!AG52</f>
        <v>Secretaria General</v>
      </c>
      <c r="AL53" s="520" t="str">
        <f>+'Plan estratégico 2021-2024'!AH52</f>
        <v>Auxiliar de Atención al Ciudadano</v>
      </c>
      <c r="AM53" s="704">
        <v>0</v>
      </c>
      <c r="AN53" s="704"/>
      <c r="AO53" s="704"/>
      <c r="AP53" s="704">
        <f>40/100</f>
        <v>0.4</v>
      </c>
      <c r="AQ53" s="704"/>
      <c r="AR53" s="704"/>
      <c r="AS53" s="704">
        <f>70/100</f>
        <v>0.7</v>
      </c>
      <c r="AT53" s="704"/>
      <c r="AU53" s="704"/>
      <c r="AV53" s="704"/>
      <c r="AW53" s="704"/>
      <c r="AX53" s="704"/>
      <c r="AY53" s="307" t="str">
        <f t="shared" si="1"/>
        <v>5.13.1</v>
      </c>
      <c r="AZ53" s="519" t="s">
        <v>990</v>
      </c>
      <c r="BA53" s="519" t="s">
        <v>1217</v>
      </c>
      <c r="BB53" s="536" t="s">
        <v>1330</v>
      </c>
      <c r="BC53" s="411" t="s">
        <v>1005</v>
      </c>
      <c r="BE53" s="440" t="s">
        <v>1062</v>
      </c>
      <c r="BF53" s="440" t="s">
        <v>1027</v>
      </c>
      <c r="BG53" s="404" t="s">
        <v>1274</v>
      </c>
      <c r="BH53" s="436" t="s">
        <v>1022</v>
      </c>
    </row>
    <row r="54" spans="1:60" s="368" customFormat="1" ht="109.5" customHeight="1" x14ac:dyDescent="0.2">
      <c r="A54" s="307" t="str">
        <f>+'Plan estratégico 2021-2024'!I53</f>
        <v>5.13.2</v>
      </c>
      <c r="B54" s="523" t="str">
        <f>+'Plan estratégico 2021-2024'!A52</f>
        <v>16. Paz, justicia e instituciones sólidas.</v>
      </c>
      <c r="C54" s="523" t="str">
        <f>+'Plan estratégico 2021-2024'!B52</f>
        <v>Propósito 1
Logro de ciudad: 3
Propósito 3
Logro de ciudad: 23
Propósito 5
Logros de ciudad: 27 - 30</v>
      </c>
      <c r="D54" s="523" t="str">
        <f>+'Plan estratégico 2021-2024'!C52</f>
        <v>Servicio al ciudadano
Participación Ciudadana en la Gestión Pública</v>
      </c>
      <c r="E54" s="523" t="str">
        <f>+'Plan estratégico 2021-2024'!D52</f>
        <v>05 - Fortalecer la capacidad organizacional de Capital para ser una empresa transparente, eficiente y sostenible.</v>
      </c>
      <c r="F54" s="523" t="str">
        <f>+'Plan estratégico 2021-2024'!E52</f>
        <v>5.13. Fortalecer las herramientas y procesos en la gestión de la Atención al Ciudadano.</v>
      </c>
      <c r="G54" s="523" t="str">
        <f>+'Plan estratégico 2021-2024'!F53</f>
        <v>Verificar que las respuestas a la totalidad de las peticiones, quejas, reclamos y/o sugerencias sean atendidas en los términos establecidos por la ley.</v>
      </c>
      <c r="H54" s="523" t="str">
        <f>+'Plan estratégico 2021-2024'!G53</f>
        <v>Porcentaje promedio de cumplimiento en las respuestas a las PQRS en los términos establecidos por la Ley</v>
      </c>
      <c r="I54" s="523" t="str">
        <f>+'Plan estratégico 2021-2024'!H53</f>
        <v>2 Eficiencia: (uso de los recursos)</v>
      </c>
      <c r="J54" s="520" t="str">
        <f>+'Plan estratégico 2021-2024'!I53</f>
        <v>5.13.2</v>
      </c>
      <c r="K54" s="520" t="str">
        <f>+'Plan estratégico 2021-2024'!J53</f>
        <v>Atención Oportuna a las PQRS</v>
      </c>
      <c r="L54" s="520" t="str">
        <f t="shared" si="0"/>
        <v>5.13.2 Atención Oportuna a las PQRS</v>
      </c>
      <c r="M54" s="520" t="str">
        <f>+'Plan estratégico 2021-2024'!K53</f>
        <v>Atender los diferentes requerimientos de los ciudadanos con el apoyo del área competente para satisfacer sus necesidades.</v>
      </c>
      <c r="N54" s="520" t="str">
        <f>+'Plan estratégico 2021-2024'!L53</f>
        <v>Informes mensuales de PQRS</v>
      </c>
      <c r="O54" s="520" t="str">
        <f>+'Plan estratégico 2021-2024'!M53</f>
        <v>Eficiencia en la atención a los PQRS</v>
      </c>
      <c r="P54" s="520" t="str">
        <f>+'Plan estratégico 2021-2024'!N53</f>
        <v>2 Eficiencia: (uso de los recursos)</v>
      </c>
      <c r="Q54" s="520" t="str">
        <f>+'Plan estratégico 2021-2024'!O53</f>
        <v>Cumplir con los tiempos establecidos por la Ley para la atención de las peticiones, quejas, reclamos y/o sugerencias.</v>
      </c>
      <c r="R54" s="520" t="str">
        <f>+'Plan estratégico 2021-2024'!P53</f>
        <v>Número de PQRS atendidas oportunamente en el mes / Total de PQRS gestionadas en el mes</v>
      </c>
      <c r="S54" s="521" t="s">
        <v>922</v>
      </c>
      <c r="T54" s="521" t="s">
        <v>920</v>
      </c>
      <c r="U54" s="520" t="str">
        <f>+'Plan estratégico 2021-2024'!Q53</f>
        <v>Porcentaje (%).</v>
      </c>
      <c r="V54" s="520" t="str">
        <f>+'Plan estratégico 2021-2024'!R53</f>
        <v>No aplica.</v>
      </c>
      <c r="W54" s="446">
        <f>+'Plan estratégico 2021-2024'!S53</f>
        <v>0.95</v>
      </c>
      <c r="X54" s="394">
        <f>+'Plan estratégico 2021-2024'!T53</f>
        <v>0.95</v>
      </c>
      <c r="Y54" s="394">
        <f>+'Plan estratégico 2021-2024'!U53</f>
        <v>0.95</v>
      </c>
      <c r="Z54" s="394">
        <f>+'Plan estratégico 2021-2024'!V53</f>
        <v>0.95</v>
      </c>
      <c r="AA54" s="395" t="str">
        <f>+'Plan estratégico 2021-2024'!W53</f>
        <v>-</v>
      </c>
      <c r="AB54" s="395" t="str">
        <f>+'Plan estratégico 2021-2024'!X53</f>
        <v>-</v>
      </c>
      <c r="AC54" s="395" t="str">
        <f>+'Plan estratégico 2021-2024'!Y53</f>
        <v>-</v>
      </c>
      <c r="AD54" s="395" t="str">
        <f>+'Plan estratégico 2021-2024'!Z53</f>
        <v>-</v>
      </c>
      <c r="AE54" s="520" t="str">
        <f>+'Plan estratégico 2021-2024'!AA53</f>
        <v xml:space="preserve">
Tramitar la totalidad de las PQRS recibidas en la entidad y hacer seguimiento mensual sobre el cumplimiento de las mismas. 
</v>
      </c>
      <c r="AF54" s="520" t="str">
        <f>+'Plan estratégico 2021-2024'!AB53</f>
        <v>(Número de solicitudes atendidas durante el mes (incluyendo las registradas no atendidas de meses anteriores por tiempos de respuesta) / Número de solicitudes recibidas durante el mes) * 100%</v>
      </c>
      <c r="AG54" s="520" t="str">
        <f>+'Plan estratégico 2021-2024'!AC53</f>
        <v>1 Eficacia: (cumplimiento de metas)</v>
      </c>
      <c r="AH54" s="520" t="str">
        <f>+'Plan estratégico 2021-2024'!AD53</f>
        <v>Porcentaje (%)</v>
      </c>
      <c r="AI54" s="520" t="str">
        <f>+'Plan estratégico 2021-2024'!AE53</f>
        <v>Mensual.</v>
      </c>
      <c r="AJ54" s="520" t="str">
        <f>+'Plan estratégico 2021-2024'!AF53</f>
        <v>No aplica.</v>
      </c>
      <c r="AK54" s="520" t="str">
        <f>+'Plan estratégico 2021-2024'!AG53</f>
        <v>Secretaria General</v>
      </c>
      <c r="AL54" s="520" t="str">
        <f>+'Plan estratégico 2021-2024'!AH53</f>
        <v>Auxiliar de Atención al Ciudadano</v>
      </c>
      <c r="AM54" s="407">
        <f>42/56</f>
        <v>0.75</v>
      </c>
      <c r="AN54" s="407">
        <f>31/33</f>
        <v>0.93939393939393945</v>
      </c>
      <c r="AO54" s="407">
        <f>46/45</f>
        <v>1.0222222222222221</v>
      </c>
      <c r="AP54" s="407">
        <f>61/37</f>
        <v>1.6486486486486487</v>
      </c>
      <c r="AQ54" s="407">
        <f>35/37</f>
        <v>0.94594594594594594</v>
      </c>
      <c r="AR54" s="407">
        <f>42/43</f>
        <v>0.97674418604651159</v>
      </c>
      <c r="AS54" s="407">
        <f>39/26</f>
        <v>1.5</v>
      </c>
      <c r="AT54" s="407">
        <f>42/37</f>
        <v>1.1351351351351351</v>
      </c>
      <c r="AU54" s="407">
        <f>36/33</f>
        <v>1.0909090909090908</v>
      </c>
      <c r="AV54" s="407"/>
      <c r="AW54" s="407"/>
      <c r="AX54" s="407"/>
      <c r="AY54" s="307" t="str">
        <f t="shared" si="1"/>
        <v>5.13.2</v>
      </c>
      <c r="AZ54" s="519" t="s">
        <v>991</v>
      </c>
      <c r="BA54" s="519" t="s">
        <v>991</v>
      </c>
      <c r="BB54" s="536" t="s">
        <v>991</v>
      </c>
      <c r="BC54" s="411" t="s">
        <v>1006</v>
      </c>
      <c r="BE54" s="440" t="s">
        <v>1062</v>
      </c>
      <c r="BF54" s="440" t="s">
        <v>1065</v>
      </c>
      <c r="BG54" s="440" t="s">
        <v>1057</v>
      </c>
      <c r="BH54" s="436" t="s">
        <v>1023</v>
      </c>
    </row>
    <row r="55" spans="1:60" ht="109.5" customHeight="1" x14ac:dyDescent="0.2">
      <c r="A55" s="307" t="str">
        <f>+'Plan estratégico 2021-2024'!I54</f>
        <v>5.14.1</v>
      </c>
      <c r="B55" s="523" t="str">
        <f>+'Plan estratégico 2021-2024'!A54</f>
        <v>11. Ciudades y comunidades sostenibles.
16. Paz, justicia e instituciones sólidas.</v>
      </c>
      <c r="C55" s="523" t="str">
        <f>+'Plan estratégico 2021-2024'!B54</f>
        <v>Propósito 5
Logro de ciudad: 30</v>
      </c>
      <c r="D55" s="523" t="str">
        <f>+'Plan estratégico 2021-2024'!C54</f>
        <v>Seguimiento y evaluación del desempeño institucional.
Control Interno.</v>
      </c>
      <c r="E55" s="523" t="str">
        <f>+'Plan estratégico 2021-2024'!D54</f>
        <v>05 - Fortalecer la capacidad organizacional de Capital para ser una empresa transparente, eficiente y sostenible.</v>
      </c>
      <c r="F55" s="523" t="str">
        <f>+'Plan estratégico 2021-2024'!E54</f>
        <v>5.14. Evaluación y recomendaciones estratégicas de valor a la gestión institucional</v>
      </c>
      <c r="G55" s="523" t="str">
        <f>+'Plan estratégico 2021-2024'!F54</f>
        <v xml:space="preserve">Cumplir con el 100% de las acciones establecidas en el Plan Anual de Auditoría </v>
      </c>
      <c r="H55" s="523" t="str">
        <f>+'Plan estratégico 2021-2024'!G54</f>
        <v xml:space="preserve">Porcentaje promedio de Cumplimiento de las actividades anuales del Plan Anual de Auditoría </v>
      </c>
      <c r="I55" s="523" t="str">
        <f>+'Plan estratégico 2021-2024'!H54</f>
        <v>2 Eficiencia: (uso de los recursos)</v>
      </c>
      <c r="J55" s="520" t="str">
        <f>+'Plan estratégico 2021-2024'!I54</f>
        <v>5.14.1</v>
      </c>
      <c r="K55" s="520" t="str">
        <f>+'Plan estratégico 2021-2024'!J54</f>
        <v xml:space="preserve">Plan Anual de Auditoría </v>
      </c>
      <c r="L55" s="520" t="str">
        <f t="shared" si="0"/>
        <v xml:space="preserve">5.14.1 Plan Anual de Auditoría </v>
      </c>
      <c r="M55" s="520" t="str">
        <f>+'Plan estratégico 2021-2024'!K54</f>
        <v>Adelantar actividades de aseguramiento y consultoría de forma objetiva e independiente a los diferentes procesos, proyectos y políticas de Capital buscando generar valor a la entidad.</v>
      </c>
      <c r="N55" s="520" t="str">
        <f>+'Plan estratégico 2021-2024'!L54</f>
        <v>Informes, seguimientos, Tips, Actas de reunión y Capacitaciones</v>
      </c>
      <c r="O55" s="520" t="str">
        <f>+'Plan estratégico 2021-2024'!M54</f>
        <v>Actividades de aseguramiento y Consultoría</v>
      </c>
      <c r="P55" s="520" t="str">
        <f>+'Plan estratégico 2021-2024'!N54</f>
        <v>2 Eficiencia: (uso de los recursos)</v>
      </c>
      <c r="Q55" s="520" t="str">
        <f>+'Plan estratégico 2021-2024'!O54</f>
        <v xml:space="preserve">Monitorear el cumplimiento de las actividades establecidas en el Plan Anual de Auditoría </v>
      </c>
      <c r="R55" s="520" t="str">
        <f>+'Plan estratégico 2021-2024'!P54</f>
        <v>(Número de actividades cumplidas del Plan Anual de Auditorías a la fecha de seguimiento / Número de actividades programadas en el Plan Anual de Auditorías a la fecha de corte)*100%.</v>
      </c>
      <c r="S55" s="519" t="s">
        <v>923</v>
      </c>
      <c r="T55" s="519" t="s">
        <v>921</v>
      </c>
      <c r="U55" s="520" t="str">
        <f>+'Plan estratégico 2021-2024'!Q54</f>
        <v>Porcentaje (%).</v>
      </c>
      <c r="V55" s="394">
        <f>+'Plan estratégico 2021-2024'!R54</f>
        <v>0.94</v>
      </c>
      <c r="W55" s="446">
        <f>+'Plan estratégico 2021-2024'!S54</f>
        <v>0.96</v>
      </c>
      <c r="X55" s="394">
        <f>+'Plan estratégico 2021-2024'!T54</f>
        <v>0.98</v>
      </c>
      <c r="Y55" s="394">
        <f>+'Plan estratégico 2021-2024'!U54</f>
        <v>0.99</v>
      </c>
      <c r="Z55" s="394">
        <f>+'Plan estratégico 2021-2024'!V54</f>
        <v>1</v>
      </c>
      <c r="AA55" s="395">
        <f>+'Plan estratégico 2021-2024'!W54</f>
        <v>234036000</v>
      </c>
      <c r="AB55" s="395">
        <f>+'Plan estratégico 2021-2024'!X54</f>
        <v>243397440</v>
      </c>
      <c r="AC55" s="395">
        <f>+'Plan estratégico 2021-2024'!Y54</f>
        <v>252819993.59999999</v>
      </c>
      <c r="AD55" s="395">
        <f>+'Plan estratégico 2021-2024'!Z54</f>
        <v>262306105.34399998</v>
      </c>
      <c r="AE55" s="520" t="str">
        <f>+'Plan estratégico 2021-2024'!AA54</f>
        <v xml:space="preserve">Ejecutar las actividades formuladas en el Plan Anual de Auditoría  </v>
      </c>
      <c r="AF55" s="520" t="str">
        <f>+'Plan estratégico 2021-2024'!AB54</f>
        <v>(Número de actividades cumplidas del Plan Anual de Auditorías a la fecha de corte / Número de actividades programadas en el Plan Anual de Auditorías a la fecha de corte)*100%.</v>
      </c>
      <c r="AG55" s="520" t="str">
        <f>+'Plan estratégico 2021-2024'!AC54</f>
        <v>2 Eficiencia: (uso de los recursos)</v>
      </c>
      <c r="AH55" s="520" t="str">
        <f>+'Plan estratégico 2021-2024'!AD54</f>
        <v>Porcentaje (%)</v>
      </c>
      <c r="AI55" s="520" t="str">
        <f>+'Plan estratégico 2021-2024'!AE54</f>
        <v>Trimestral.</v>
      </c>
      <c r="AJ55" s="520" t="str">
        <f>+'Plan estratégico 2021-2024'!AF54</f>
        <v>No aplica.</v>
      </c>
      <c r="AK55" s="520" t="str">
        <f>+'Plan estratégico 2021-2024'!AG54</f>
        <v>Jefe Oficina de Control Interno</v>
      </c>
      <c r="AL55" s="520" t="str">
        <f>+'Plan estratégico 2021-2024'!AH54</f>
        <v xml:space="preserve">Contratista Profesional Oficina de Control Interno </v>
      </c>
      <c r="AM55" s="693">
        <f>45/45</f>
        <v>1</v>
      </c>
      <c r="AN55" s="693"/>
      <c r="AO55" s="693"/>
      <c r="AP55" s="693">
        <f>51/51</f>
        <v>1</v>
      </c>
      <c r="AQ55" s="693"/>
      <c r="AR55" s="693"/>
      <c r="AS55" s="693">
        <f>47/53</f>
        <v>0.8867924528301887</v>
      </c>
      <c r="AT55" s="693"/>
      <c r="AU55" s="693"/>
      <c r="AV55" s="693"/>
      <c r="AW55" s="693"/>
      <c r="AX55" s="693"/>
      <c r="AY55" s="307" t="str">
        <f t="shared" si="1"/>
        <v>5.14.1</v>
      </c>
      <c r="AZ55" s="519" t="s">
        <v>981</v>
      </c>
      <c r="BA55" s="519" t="s">
        <v>1275</v>
      </c>
      <c r="BB55" s="536" t="s">
        <v>1323</v>
      </c>
      <c r="BC55" s="411" t="s">
        <v>1006</v>
      </c>
      <c r="BE55" s="440" t="s">
        <v>1062</v>
      </c>
      <c r="BF55" s="440" t="s">
        <v>1065</v>
      </c>
      <c r="BG55" s="440" t="s">
        <v>1057</v>
      </c>
      <c r="BH55" s="436" t="s">
        <v>1023</v>
      </c>
    </row>
    <row r="56" spans="1:60" ht="126.75" customHeight="1" x14ac:dyDescent="0.2">
      <c r="A56" s="307" t="str">
        <f>+'Plan estratégico 2021-2024'!I55</f>
        <v>5.14.2</v>
      </c>
      <c r="B56" s="523" t="str">
        <f>+'Plan estratégico 2021-2024'!A54</f>
        <v>11. Ciudades y comunidades sostenibles.
16. Paz, justicia e instituciones sólidas.</v>
      </c>
      <c r="C56" s="523" t="str">
        <f>+'Plan estratégico 2021-2024'!B54</f>
        <v>Propósito 5
Logro de ciudad: 30</v>
      </c>
      <c r="D56" s="523" t="str">
        <f>+'Plan estratégico 2021-2024'!C54</f>
        <v>Seguimiento y evaluación del desempeño institucional.
Control Interno.</v>
      </c>
      <c r="E56" s="523" t="str">
        <f>+'Plan estratégico 2021-2024'!D54</f>
        <v>05 - Fortalecer la capacidad organizacional de Capital para ser una empresa transparente, eficiente y sostenible.</v>
      </c>
      <c r="F56" s="523" t="str">
        <f>+'Plan estratégico 2021-2024'!E54</f>
        <v>5.14. Evaluación y recomendaciones estratégicas de valor a la gestión institucional</v>
      </c>
      <c r="G56" s="523" t="str">
        <f>+'Plan estratégico 2021-2024'!F54</f>
        <v xml:space="preserve">Cumplir con el 100% de las acciones establecidas en el Plan Anual de Auditoría </v>
      </c>
      <c r="H56" s="523" t="str">
        <f>+'Plan estratégico 2021-2024'!G54</f>
        <v xml:space="preserve">Porcentaje promedio de Cumplimiento de las actividades anuales del Plan Anual de Auditoría </v>
      </c>
      <c r="I56" s="523" t="str">
        <f>+'Plan estratégico 2021-2024'!H54</f>
        <v>2 Eficiencia: (uso de los recursos)</v>
      </c>
      <c r="J56" s="520" t="str">
        <f>+'Plan estratégico 2021-2024'!I55</f>
        <v>5.14.2</v>
      </c>
      <c r="K56" s="520" t="s">
        <v>1369</v>
      </c>
      <c r="L56" s="520" t="str">
        <f t="shared" si="0"/>
        <v>5.14.2 Plan de Mejoramiento</v>
      </c>
      <c r="M56" s="520" t="str">
        <f>+'Plan estratégico 2021-2024'!K54</f>
        <v>Adelantar actividades de aseguramiento y consultoría de forma objetiva e independiente a los diferentes procesos, proyectos y políticas de Capital buscando generar valor a la entidad.</v>
      </c>
      <c r="N56" s="520" t="str">
        <f>+'Plan estratégico 2021-2024'!L54</f>
        <v>Informes, seguimientos, Tips, Actas de reunión y Capacitaciones</v>
      </c>
      <c r="O56" s="520" t="str">
        <f>+'Plan estratégico 2021-2024'!M54</f>
        <v>Actividades de aseguramiento y Consultoría</v>
      </c>
      <c r="P56" s="520" t="str">
        <f>+'Plan estratégico 2021-2024'!N54</f>
        <v>2 Eficiencia: (uso de los recursos)</v>
      </c>
      <c r="Q56" s="520" t="str">
        <f>+'Plan estratégico 2021-2024'!O54</f>
        <v xml:space="preserve">Monitorear el cumplimiento de las actividades establecidas en el Plan Anual de Auditoría </v>
      </c>
      <c r="R56" s="519" t="s">
        <v>342</v>
      </c>
      <c r="S56" s="519" t="s">
        <v>983</v>
      </c>
      <c r="T56" s="519" t="s">
        <v>984</v>
      </c>
      <c r="U56" s="520" t="str">
        <f>+'Plan estratégico 2021-2024'!Q54</f>
        <v>Porcentaje (%).</v>
      </c>
      <c r="V56" s="398">
        <f>+'Plan estratégico 2021-2024'!R54</f>
        <v>0.94</v>
      </c>
      <c r="W56" s="446">
        <f>+'Plan estratégico 2021-2024'!S54</f>
        <v>0.96</v>
      </c>
      <c r="X56" s="394">
        <f>+'Plan estratégico 2021-2024'!T54</f>
        <v>0.98</v>
      </c>
      <c r="Y56" s="394">
        <f>+'Plan estratégico 2021-2024'!U54</f>
        <v>0.99</v>
      </c>
      <c r="Z56" s="394">
        <f>+'Plan estratégico 2021-2024'!V54</f>
        <v>1</v>
      </c>
      <c r="AA56" s="395">
        <f>+'Plan estratégico 2021-2024'!W54</f>
        <v>234036000</v>
      </c>
      <c r="AB56" s="395">
        <f>+'Plan estratégico 2021-2024'!X54</f>
        <v>243397440</v>
      </c>
      <c r="AC56" s="395">
        <f>+'Plan estratégico 2021-2024'!Y54</f>
        <v>252819993.59999999</v>
      </c>
      <c r="AD56" s="395">
        <f>+'Plan estratégico 2021-2024'!Z54</f>
        <v>262306105.34399998</v>
      </c>
      <c r="AE56" s="520" t="str">
        <f>+'Plan estratégico 2021-2024'!AA55</f>
        <v xml:space="preserve">Realizar seguimiento a las acciones formuladas en el Plan de Mejoramiento por procesos </v>
      </c>
      <c r="AF56" s="520" t="str">
        <f>+'Plan estratégico 2021-2024'!AB55</f>
        <v>(Número de acciones cumplidas con fecha vencida del Plan de Mejoramiento por procesos a la fecha de corte / Número de acciones vencidas con estado abierto del Plan de Mejoramiento por procesos a la fecha de corte)*100%.</v>
      </c>
      <c r="AG56" s="520" t="str">
        <f>+'Plan estratégico 2021-2024'!AC55</f>
        <v>2 Eficiencia: (uso de los recursos)</v>
      </c>
      <c r="AH56" s="520" t="str">
        <f>+'Plan estratégico 2021-2024'!AD55</f>
        <v>Porcentaje (%)</v>
      </c>
      <c r="AI56" s="520" t="str">
        <f>+'Plan estratégico 2021-2024'!AE55</f>
        <v>Cuatrimestral.</v>
      </c>
      <c r="AJ56" s="520" t="str">
        <f>+'Plan estratégico 2021-2024'!AF55</f>
        <v>No aplica.</v>
      </c>
      <c r="AK56" s="520" t="str">
        <f>+'Plan estratégico 2021-2024'!AG55</f>
        <v>Jefe Oficina de Control Interno</v>
      </c>
      <c r="AL56" s="520" t="str">
        <f>+'Plan estratégico 2021-2024'!AH55</f>
        <v xml:space="preserve">Contratista Profesional Oficina de Control Interno </v>
      </c>
      <c r="AM56" s="703">
        <f>47/73</f>
        <v>0.64383561643835618</v>
      </c>
      <c r="AN56" s="703"/>
      <c r="AO56" s="703"/>
      <c r="AP56" s="703"/>
      <c r="AQ56" s="703">
        <f>43/66</f>
        <v>0.65151515151515149</v>
      </c>
      <c r="AR56" s="703"/>
      <c r="AS56" s="703"/>
      <c r="AT56" s="703"/>
      <c r="AU56" s="706"/>
      <c r="AV56" s="706"/>
      <c r="AW56" s="706"/>
      <c r="AX56" s="706"/>
      <c r="AY56" s="307" t="str">
        <f t="shared" si="1"/>
        <v>5.14.2</v>
      </c>
      <c r="AZ56" s="519" t="s">
        <v>982</v>
      </c>
      <c r="BA56" s="519" t="s">
        <v>1276</v>
      </c>
      <c r="BB56" s="536" t="s">
        <v>1324</v>
      </c>
      <c r="BC56" s="411" t="s">
        <v>1005</v>
      </c>
      <c r="BE56" s="440" t="s">
        <v>1062</v>
      </c>
      <c r="BF56" s="440" t="s">
        <v>1068</v>
      </c>
      <c r="BG56" s="440" t="s">
        <v>1069</v>
      </c>
      <c r="BH56" s="404" t="s">
        <v>1024</v>
      </c>
    </row>
    <row r="57" spans="1:60" ht="128.25" customHeight="1" x14ac:dyDescent="0.2">
      <c r="A57" s="307" t="str">
        <f>+'Plan estratégico 2021-2024'!I56</f>
        <v>5.14.3</v>
      </c>
      <c r="B57" s="523" t="str">
        <f>+'Plan estratégico 2021-2024'!A54</f>
        <v>11. Ciudades y comunidades sostenibles.
16. Paz, justicia e instituciones sólidas.</v>
      </c>
      <c r="C57" s="523" t="str">
        <f>+'Plan estratégico 2021-2024'!B54</f>
        <v>Propósito 5
Logro de ciudad: 30</v>
      </c>
      <c r="D57" s="523" t="str">
        <f>+'Plan estratégico 2021-2024'!C54</f>
        <v>Seguimiento y evaluación del desempeño institucional.
Control Interno.</v>
      </c>
      <c r="E57" s="523" t="str">
        <f>+'Plan estratégico 2021-2024'!D54</f>
        <v>05 - Fortalecer la capacidad organizacional de Capital para ser una empresa transparente, eficiente y sostenible.</v>
      </c>
      <c r="F57" s="523" t="str">
        <f>+'Plan estratégico 2021-2024'!E54</f>
        <v>5.14. Evaluación y recomendaciones estratégicas de valor a la gestión institucional</v>
      </c>
      <c r="G57" s="523" t="str">
        <f>+'Plan estratégico 2021-2024'!F54</f>
        <v xml:space="preserve">Cumplir con el 100% de las acciones establecidas en el Plan Anual de Auditoría </v>
      </c>
      <c r="H57" s="523" t="str">
        <f>+'Plan estratégico 2021-2024'!G54</f>
        <v xml:space="preserve">Porcentaje promedio de Cumplimiento de las actividades anuales del Plan Anual de Auditoría </v>
      </c>
      <c r="I57" s="523" t="str">
        <f>+'Plan estratégico 2021-2024'!H54</f>
        <v>2 Eficiencia: (uso de los recursos)</v>
      </c>
      <c r="J57" s="520" t="str">
        <f>+'Plan estratégico 2021-2024'!I56</f>
        <v>5.14.3</v>
      </c>
      <c r="K57" s="520" t="s">
        <v>1370</v>
      </c>
      <c r="L57" s="520" t="str">
        <f t="shared" si="0"/>
        <v>5.14.3 Plan Anticorrupción y de Atención al Ciudadano - PAAC</v>
      </c>
      <c r="M57" s="520" t="str">
        <f>+'Plan estratégico 2021-2024'!K54</f>
        <v>Adelantar actividades de aseguramiento y consultoría de forma objetiva e independiente a los diferentes procesos, proyectos y políticas de Capital buscando generar valor a la entidad.</v>
      </c>
      <c r="N57" s="520" t="str">
        <f>+'Plan estratégico 2021-2024'!L54</f>
        <v>Informes, seguimientos, Tips, Actas de reunión y Capacitaciones</v>
      </c>
      <c r="O57" s="520" t="str">
        <f>+'Plan estratégico 2021-2024'!M54</f>
        <v>Actividades de aseguramiento y Consultoría</v>
      </c>
      <c r="P57" s="520" t="str">
        <f>+'Plan estratégico 2021-2024'!N54</f>
        <v>2 Eficiencia: (uso de los recursos)</v>
      </c>
      <c r="Q57" s="520" t="str">
        <f>+'Plan estratégico 2021-2024'!O54</f>
        <v xml:space="preserve">Monitorear el cumplimiento de las actividades establecidas en el Plan Anual de Auditoría </v>
      </c>
      <c r="R57" s="519" t="s">
        <v>345</v>
      </c>
      <c r="S57" s="519" t="s">
        <v>985</v>
      </c>
      <c r="T57" s="519" t="s">
        <v>986</v>
      </c>
      <c r="U57" s="520" t="str">
        <f>+'Plan estratégico 2021-2024'!Q54</f>
        <v>Porcentaje (%).</v>
      </c>
      <c r="V57" s="398">
        <f>+'Plan estratégico 2021-2024'!R54</f>
        <v>0.94</v>
      </c>
      <c r="W57" s="30">
        <f>+'Plan estratégico 2021-2024'!S54</f>
        <v>0.96</v>
      </c>
      <c r="X57" s="398">
        <f>+'Plan estratégico 2021-2024'!T54</f>
        <v>0.98</v>
      </c>
      <c r="Y57" s="398">
        <f>+'Plan estratégico 2021-2024'!U54</f>
        <v>0.99</v>
      </c>
      <c r="Z57" s="398">
        <f>+'Plan estratégico 2021-2024'!V54</f>
        <v>1</v>
      </c>
      <c r="AA57" s="395">
        <f>+'Plan estratégico 2021-2024'!W54</f>
        <v>234036000</v>
      </c>
      <c r="AB57" s="395">
        <f>+'Plan estratégico 2021-2024'!X54</f>
        <v>243397440</v>
      </c>
      <c r="AC57" s="395">
        <f>+'Plan estratégico 2021-2024'!Y54</f>
        <v>252819993.59999999</v>
      </c>
      <c r="AD57" s="395">
        <f>+'Plan estratégico 2021-2024'!Z54</f>
        <v>262306105.34399998</v>
      </c>
      <c r="AE57" s="520" t="str">
        <f>+'Plan estratégico 2021-2024'!AA56</f>
        <v>Realizar seguimiento a las actividades que se establezcan anualmente en el PAAC</v>
      </c>
      <c r="AF57" s="520" t="str">
        <f>+'Plan estratégico 2021-2024'!AB56</f>
        <v>(Avances en el cumplimiento de las acciones programadas en el Plan Anticorrupción y de Atención al Ciudadano - PAAC / Total de acciones programadas en el Plan Anticorrupción y de Atención al Ciudadano - PAAC)*100%.</v>
      </c>
      <c r="AG57" s="520" t="str">
        <f>+'Plan estratégico 2021-2024'!AC56</f>
        <v>2 Eficiencia: (uso de los recursos)</v>
      </c>
      <c r="AH57" s="520" t="str">
        <f>+'Plan estratégico 2021-2024'!AD56</f>
        <v>Porcentaje (%)</v>
      </c>
      <c r="AI57" s="520" t="str">
        <f>+'Plan estratégico 2021-2024'!AE56</f>
        <v>Cuatrimestral.</v>
      </c>
      <c r="AJ57" s="520" t="str">
        <f>+'Plan estratégico 2021-2024'!AF56</f>
        <v>No aplica.</v>
      </c>
      <c r="AK57" s="520" t="str">
        <f>+'Plan estratégico 2021-2024'!AG56</f>
        <v>Jefe Oficina de Control Interno</v>
      </c>
      <c r="AL57" s="520" t="str">
        <f>+'Plan estratégico 2021-2024'!AH56</f>
        <v xml:space="preserve">Contratista Profesional Oficina de Control Interno </v>
      </c>
      <c r="AM57" s="703">
        <f>31/52</f>
        <v>0.59615384615384615</v>
      </c>
      <c r="AN57" s="703"/>
      <c r="AO57" s="703"/>
      <c r="AP57" s="703"/>
      <c r="AQ57" s="703">
        <f>33/43</f>
        <v>0.76744186046511631</v>
      </c>
      <c r="AR57" s="703"/>
      <c r="AS57" s="703"/>
      <c r="AT57" s="703"/>
      <c r="AU57" s="706"/>
      <c r="AV57" s="706"/>
      <c r="AW57" s="706"/>
      <c r="AX57" s="706"/>
      <c r="AY57" s="307" t="str">
        <f t="shared" si="1"/>
        <v>5.14.3</v>
      </c>
      <c r="AZ57" s="519" t="s">
        <v>982</v>
      </c>
      <c r="BA57" s="519" t="s">
        <v>1277</v>
      </c>
      <c r="BB57" s="536" t="s">
        <v>1325</v>
      </c>
      <c r="BC57" s="411" t="s">
        <v>1005</v>
      </c>
      <c r="BE57" s="440"/>
      <c r="BF57" s="440"/>
      <c r="BG57" s="440"/>
      <c r="BH57" s="436"/>
    </row>
    <row r="58" spans="1:60" ht="11.25" hidden="1" customHeight="1" x14ac:dyDescent="0.2">
      <c r="A58" s="379"/>
      <c r="B58" s="377"/>
      <c r="C58" s="372"/>
      <c r="D58" s="377"/>
      <c r="E58" s="372"/>
      <c r="F58" s="377"/>
      <c r="G58" s="377"/>
      <c r="H58" s="377"/>
      <c r="I58" s="372"/>
      <c r="J58" s="307"/>
      <c r="K58" s="378"/>
      <c r="L58" s="378"/>
      <c r="M58" s="378"/>
      <c r="N58" s="378"/>
      <c r="O58" s="378"/>
      <c r="P58" s="69"/>
      <c r="Q58" s="378"/>
      <c r="R58" s="378"/>
      <c r="S58" s="378"/>
      <c r="T58" s="378"/>
      <c r="U58" s="379"/>
      <c r="V58" s="379"/>
      <c r="W58" s="379"/>
      <c r="X58" s="379"/>
      <c r="Y58" s="379"/>
      <c r="Z58" s="379"/>
      <c r="AA58" s="373"/>
      <c r="AB58" s="373"/>
      <c r="AC58" s="373"/>
      <c r="AD58" s="373"/>
      <c r="AE58" s="377"/>
      <c r="AF58" s="377"/>
      <c r="AG58" s="372"/>
      <c r="AH58" s="377"/>
      <c r="AI58" s="377"/>
      <c r="AJ58" s="377"/>
      <c r="AK58" s="377"/>
      <c r="AL58" s="377"/>
      <c r="BE58" s="438"/>
      <c r="BF58" s="438"/>
      <c r="BG58" s="438"/>
      <c r="BH58" s="438"/>
    </row>
    <row r="59" spans="1:60" x14ac:dyDescent="0.2">
      <c r="E59" s="4"/>
      <c r="F59" s="4"/>
      <c r="G59" s="4"/>
      <c r="H59" s="4"/>
      <c r="I59" s="4"/>
      <c r="J59" s="353"/>
      <c r="K59" s="4"/>
      <c r="L59" s="4"/>
      <c r="M59" s="27"/>
      <c r="N59" s="27"/>
      <c r="O59" s="27"/>
      <c r="P59" s="4"/>
      <c r="Q59" s="27"/>
      <c r="R59" s="27"/>
      <c r="S59" s="27"/>
      <c r="T59" s="27"/>
      <c r="U59" s="27"/>
      <c r="V59" s="27"/>
      <c r="W59" s="27"/>
      <c r="X59" s="27"/>
      <c r="Y59" s="27"/>
      <c r="Z59" s="27"/>
      <c r="AA59" s="27"/>
      <c r="AB59" s="27"/>
      <c r="AC59" s="27"/>
      <c r="AD59" s="27"/>
      <c r="AE59" s="27"/>
      <c r="AF59" s="27"/>
      <c r="AG59" s="4"/>
      <c r="AH59" s="27"/>
      <c r="AI59" s="27"/>
      <c r="AJ59" s="27"/>
      <c r="AK59" s="27"/>
      <c r="AL59" s="27"/>
    </row>
    <row r="60" spans="1:60" ht="48" hidden="1" customHeight="1" x14ac:dyDescent="0.2">
      <c r="E60" s="380" t="s">
        <v>346</v>
      </c>
      <c r="F60" s="701" t="s">
        <v>347</v>
      </c>
      <c r="G60" s="701"/>
      <c r="H60" s="701"/>
      <c r="I60" s="701"/>
      <c r="J60" s="701"/>
      <c r="K60" s="701"/>
      <c r="L60" s="701"/>
      <c r="M60" s="701"/>
      <c r="N60" s="701"/>
      <c r="O60" s="89"/>
      <c r="P60" s="89"/>
      <c r="Q60" s="89"/>
      <c r="R60" s="89"/>
      <c r="S60" s="89"/>
      <c r="T60" s="89"/>
      <c r="U60" s="89"/>
      <c r="V60" s="89"/>
      <c r="W60" s="89"/>
      <c r="X60" s="89"/>
      <c r="Y60" s="89"/>
      <c r="Z60" s="89"/>
      <c r="AA60" s="89"/>
      <c r="AB60" s="89"/>
      <c r="AC60" s="89"/>
      <c r="AD60" s="89"/>
      <c r="AE60" s="89"/>
      <c r="AF60" s="302"/>
      <c r="AG60" s="89"/>
      <c r="AH60" s="89"/>
      <c r="AI60" s="89"/>
      <c r="AJ60" s="89"/>
      <c r="AK60" s="89"/>
      <c r="AL60" s="89"/>
    </row>
    <row r="61" spans="1:60" ht="45.75" hidden="1" customHeight="1" x14ac:dyDescent="0.2">
      <c r="E61" s="380" t="s">
        <v>348</v>
      </c>
      <c r="F61" s="701" t="s">
        <v>349</v>
      </c>
      <c r="G61" s="701"/>
      <c r="H61" s="701"/>
      <c r="I61" s="701"/>
      <c r="J61" s="701"/>
      <c r="K61" s="701"/>
      <c r="L61" s="701"/>
      <c r="M61" s="701"/>
      <c r="N61" s="701"/>
      <c r="O61" s="89"/>
      <c r="P61" s="89"/>
      <c r="Q61" s="89"/>
      <c r="R61" s="89"/>
      <c r="S61" s="89"/>
      <c r="T61" s="89"/>
      <c r="U61" s="89"/>
      <c r="V61" s="89"/>
      <c r="W61" s="89"/>
      <c r="X61" s="89"/>
      <c r="Y61" s="89"/>
      <c r="Z61" s="89"/>
      <c r="AA61" s="89"/>
      <c r="AB61" s="89"/>
      <c r="AC61" s="89"/>
      <c r="AD61" s="89"/>
      <c r="AE61" s="89"/>
      <c r="AF61" s="89"/>
      <c r="AG61" s="89"/>
      <c r="AH61" s="89"/>
      <c r="AI61" s="89"/>
      <c r="AJ61" s="89"/>
      <c r="AK61" s="89"/>
      <c r="AL61" s="89"/>
    </row>
    <row r="62" spans="1:60" ht="30.75" hidden="1" customHeight="1" x14ac:dyDescent="0.2">
      <c r="E62" s="702" t="s">
        <v>350</v>
      </c>
      <c r="F62" s="701" t="s">
        <v>108</v>
      </c>
      <c r="G62" s="701"/>
      <c r="H62" s="701"/>
      <c r="I62" s="701"/>
      <c r="J62" s="701"/>
      <c r="K62" s="701"/>
      <c r="L62" s="701"/>
      <c r="M62" s="701"/>
      <c r="N62" s="701"/>
      <c r="O62" s="89"/>
      <c r="P62" s="89"/>
      <c r="Q62" s="89"/>
      <c r="R62" s="89"/>
      <c r="S62" s="89"/>
      <c r="T62" s="89"/>
      <c r="U62" s="89"/>
      <c r="V62" s="89"/>
      <c r="W62" s="89"/>
      <c r="X62" s="89"/>
      <c r="Y62" s="89"/>
      <c r="Z62" s="89"/>
      <c r="AA62" s="89"/>
      <c r="AB62" s="89"/>
      <c r="AC62" s="89"/>
      <c r="AD62" s="89"/>
      <c r="AE62" s="89"/>
      <c r="AF62" s="89"/>
      <c r="AG62" s="89"/>
      <c r="AH62" s="89"/>
      <c r="AI62" s="89"/>
      <c r="AJ62" s="89"/>
      <c r="AK62" s="89"/>
      <c r="AL62" s="89"/>
    </row>
    <row r="63" spans="1:60" ht="30.75" hidden="1" customHeight="1" x14ac:dyDescent="0.2">
      <c r="E63" s="702"/>
      <c r="F63" s="701" t="s">
        <v>94</v>
      </c>
      <c r="G63" s="701"/>
      <c r="H63" s="701"/>
      <c r="I63" s="701"/>
      <c r="J63" s="701"/>
      <c r="K63" s="701"/>
      <c r="L63" s="701"/>
      <c r="M63" s="701"/>
      <c r="N63" s="701"/>
      <c r="O63" s="89"/>
      <c r="P63" s="89"/>
      <c r="Q63" s="89"/>
      <c r="R63" s="89"/>
      <c r="S63" s="89"/>
      <c r="T63" s="89"/>
      <c r="U63" s="89"/>
      <c r="V63" s="89"/>
      <c r="W63" s="89"/>
      <c r="X63" s="89"/>
      <c r="Y63" s="89"/>
      <c r="Z63" s="89"/>
      <c r="AA63" s="89"/>
      <c r="AB63" s="89"/>
      <c r="AC63" s="89"/>
      <c r="AD63" s="89"/>
      <c r="AE63" s="89"/>
      <c r="AF63" s="89"/>
      <c r="AG63" s="89"/>
      <c r="AH63" s="89"/>
      <c r="AI63" s="89"/>
      <c r="AJ63" s="89"/>
      <c r="AK63" s="89"/>
      <c r="AL63" s="89"/>
    </row>
    <row r="64" spans="1:60" ht="30.75" hidden="1" customHeight="1" x14ac:dyDescent="0.2">
      <c r="E64" s="702"/>
      <c r="F64" s="701" t="s">
        <v>183</v>
      </c>
      <c r="G64" s="701"/>
      <c r="H64" s="701"/>
      <c r="I64" s="701"/>
      <c r="J64" s="701"/>
      <c r="K64" s="701"/>
      <c r="L64" s="701"/>
      <c r="M64" s="701"/>
      <c r="N64" s="701"/>
      <c r="O64" s="89"/>
      <c r="P64" s="89"/>
      <c r="Q64" s="89"/>
      <c r="R64" s="89"/>
      <c r="S64" s="89"/>
      <c r="T64" s="89"/>
      <c r="U64" s="89"/>
      <c r="V64" s="89"/>
      <c r="W64" s="89"/>
      <c r="X64" s="89"/>
      <c r="Y64" s="89"/>
      <c r="Z64" s="89"/>
      <c r="AA64" s="89"/>
      <c r="AB64" s="89"/>
      <c r="AC64" s="89"/>
      <c r="AD64" s="89"/>
      <c r="AE64" s="89"/>
      <c r="AF64" s="89"/>
      <c r="AG64" s="89"/>
      <c r="AH64" s="89"/>
      <c r="AI64" s="89"/>
      <c r="AJ64" s="89"/>
      <c r="AK64" s="89"/>
      <c r="AL64" s="89"/>
    </row>
    <row r="65" spans="5:38" ht="30.75" hidden="1" customHeight="1" x14ac:dyDescent="0.2">
      <c r="E65" s="702"/>
      <c r="F65" s="701" t="s">
        <v>351</v>
      </c>
      <c r="G65" s="701"/>
      <c r="H65" s="701"/>
      <c r="I65" s="701"/>
      <c r="J65" s="701"/>
      <c r="K65" s="701"/>
      <c r="L65" s="701"/>
      <c r="M65" s="701"/>
      <c r="N65" s="701"/>
      <c r="O65" s="89"/>
      <c r="P65" s="89"/>
      <c r="Q65" s="89"/>
      <c r="R65" s="89"/>
      <c r="S65" s="89"/>
      <c r="T65" s="89"/>
      <c r="U65" s="89"/>
      <c r="V65" s="89"/>
      <c r="W65" s="89"/>
      <c r="X65" s="89"/>
      <c r="Y65" s="89"/>
      <c r="Z65" s="89"/>
      <c r="AA65" s="89"/>
      <c r="AB65" s="89"/>
      <c r="AC65" s="89"/>
      <c r="AD65" s="89"/>
      <c r="AE65" s="89"/>
      <c r="AF65" s="89"/>
      <c r="AG65" s="89"/>
      <c r="AH65" s="89"/>
      <c r="AI65" s="89"/>
      <c r="AJ65" s="89"/>
      <c r="AK65" s="89"/>
      <c r="AL65" s="89"/>
    </row>
    <row r="66" spans="5:38" ht="30.75" hidden="1" customHeight="1" x14ac:dyDescent="0.2">
      <c r="E66" s="702"/>
      <c r="F66" s="701" t="s">
        <v>34</v>
      </c>
      <c r="G66" s="701"/>
      <c r="H66" s="701"/>
      <c r="I66" s="701"/>
      <c r="J66" s="701"/>
      <c r="K66" s="701"/>
      <c r="L66" s="701"/>
      <c r="M66" s="701"/>
      <c r="N66" s="701"/>
      <c r="O66" s="89"/>
      <c r="P66" s="89"/>
      <c r="Q66" s="89"/>
      <c r="R66" s="89"/>
      <c r="S66" s="89"/>
      <c r="T66" s="89"/>
      <c r="U66" s="89"/>
      <c r="V66" s="89"/>
      <c r="W66" s="89"/>
      <c r="X66" s="89"/>
      <c r="Y66" s="89"/>
      <c r="Z66" s="89"/>
      <c r="AA66" s="89"/>
      <c r="AB66" s="89"/>
      <c r="AC66" s="89"/>
      <c r="AD66" s="89"/>
      <c r="AE66" s="89"/>
      <c r="AF66" s="89"/>
      <c r="AG66" s="89"/>
      <c r="AH66" s="89"/>
      <c r="AI66" s="89"/>
      <c r="AJ66" s="89"/>
      <c r="AK66" s="89"/>
      <c r="AL66" s="89"/>
    </row>
    <row r="67" spans="5:38" ht="19.5" customHeight="1" x14ac:dyDescent="0.2">
      <c r="E67" s="90"/>
      <c r="F67" s="3"/>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row>
  </sheetData>
  <autoFilter ref="A9:BH57" xr:uid="{00000000-0009-0000-0000-000001000000}"/>
  <mergeCells count="206">
    <mergeCell ref="AZ8:BB8"/>
    <mergeCell ref="A1:AR1"/>
    <mergeCell ref="AY1:BB1"/>
    <mergeCell ref="AY8:AY9"/>
    <mergeCell ref="AU57:AX57"/>
    <mergeCell ref="AM52:AR52"/>
    <mergeCell ref="AP53:AR53"/>
    <mergeCell ref="AP55:AR55"/>
    <mergeCell ref="AM39:AO39"/>
    <mergeCell ref="AP39:AR39"/>
    <mergeCell ref="AM41:AO41"/>
    <mergeCell ref="AP41:AR41"/>
    <mergeCell ref="AM49:AO49"/>
    <mergeCell ref="AP49:AR49"/>
    <mergeCell ref="AP46:AR46"/>
    <mergeCell ref="AP47:AR47"/>
    <mergeCell ref="AP48:AR48"/>
    <mergeCell ref="AS51:AU51"/>
    <mergeCell ref="AV51:AX51"/>
    <mergeCell ref="AS52:AU52"/>
    <mergeCell ref="AV52:AX52"/>
    <mergeCell ref="AS53:AU53"/>
    <mergeCell ref="AV53:AX53"/>
    <mergeCell ref="AS55:AU55"/>
    <mergeCell ref="AV55:AX55"/>
    <mergeCell ref="AQ56:AT56"/>
    <mergeCell ref="AU56:AX56"/>
    <mergeCell ref="AS42:AU42"/>
    <mergeCell ref="AV42:AX42"/>
    <mergeCell ref="AS46:AU46"/>
    <mergeCell ref="AV46:AX46"/>
    <mergeCell ref="AS47:AU47"/>
    <mergeCell ref="AV47:AX47"/>
    <mergeCell ref="AS48:AU48"/>
    <mergeCell ref="AV48:AX48"/>
    <mergeCell ref="AS50:AU50"/>
    <mergeCell ref="AV50:AX50"/>
    <mergeCell ref="AP50:AR50"/>
    <mergeCell ref="AP51:AR51"/>
    <mergeCell ref="AM56:AP56"/>
    <mergeCell ref="AS29:AU29"/>
    <mergeCell ref="AV29:AX29"/>
    <mergeCell ref="AS30:AU30"/>
    <mergeCell ref="AV30:AX30"/>
    <mergeCell ref="AS31:AU31"/>
    <mergeCell ref="AV31:AX31"/>
    <mergeCell ref="AS37:AU37"/>
    <mergeCell ref="AV37:AX37"/>
    <mergeCell ref="AS40:AU40"/>
    <mergeCell ref="AV40:AX40"/>
    <mergeCell ref="AS32:AU32"/>
    <mergeCell ref="AS38:AU38"/>
    <mergeCell ref="AS39:AU39"/>
    <mergeCell ref="AS33:AU33"/>
    <mergeCell ref="AS34:AU34"/>
    <mergeCell ref="AS35:AU35"/>
    <mergeCell ref="AS24:AU24"/>
    <mergeCell ref="AV24:AX24"/>
    <mergeCell ref="AS25:AU25"/>
    <mergeCell ref="AV25:AX25"/>
    <mergeCell ref="AS26:AU26"/>
    <mergeCell ref="AV26:AX26"/>
    <mergeCell ref="AS27:AU27"/>
    <mergeCell ref="AV27:AX27"/>
    <mergeCell ref="AS28:AU28"/>
    <mergeCell ref="AV28:AX28"/>
    <mergeCell ref="AS19:AU19"/>
    <mergeCell ref="AV19:AX19"/>
    <mergeCell ref="AS20:AU20"/>
    <mergeCell ref="AV20:AX20"/>
    <mergeCell ref="AS21:AU21"/>
    <mergeCell ref="AV21:AX21"/>
    <mergeCell ref="AS22:AU22"/>
    <mergeCell ref="AV22:AX22"/>
    <mergeCell ref="AS23:AU23"/>
    <mergeCell ref="AV23:AX23"/>
    <mergeCell ref="AV14:AX14"/>
    <mergeCell ref="AS15:AU15"/>
    <mergeCell ref="AV15:AX15"/>
    <mergeCell ref="AS16:AU16"/>
    <mergeCell ref="AV16:AX16"/>
    <mergeCell ref="AS17:AU17"/>
    <mergeCell ref="AV17:AX17"/>
    <mergeCell ref="AS18:AU18"/>
    <mergeCell ref="AV18:AX18"/>
    <mergeCell ref="AM57:AP57"/>
    <mergeCell ref="AP30:AR30"/>
    <mergeCell ref="AP31:AR31"/>
    <mergeCell ref="AP37:AR37"/>
    <mergeCell ref="AP40:AR40"/>
    <mergeCell ref="AP42:AR42"/>
    <mergeCell ref="AM48:AO48"/>
    <mergeCell ref="AM50:AO50"/>
    <mergeCell ref="AM51:AO51"/>
    <mergeCell ref="AM53:AO53"/>
    <mergeCell ref="AQ57:AT57"/>
    <mergeCell ref="AM32:AO32"/>
    <mergeCell ref="AP32:AR32"/>
    <mergeCell ref="AM33:AO33"/>
    <mergeCell ref="AP33:AR33"/>
    <mergeCell ref="AM34:AO34"/>
    <mergeCell ref="AP34:AR34"/>
    <mergeCell ref="AM35:AO35"/>
    <mergeCell ref="AP35:AR35"/>
    <mergeCell ref="AM38:AO38"/>
    <mergeCell ref="AP38:AR38"/>
    <mergeCell ref="AS49:AU49"/>
    <mergeCell ref="AS41:AU41"/>
    <mergeCell ref="AP26:AR26"/>
    <mergeCell ref="AP27:AR27"/>
    <mergeCell ref="AP28:AR28"/>
    <mergeCell ref="AP29:AR29"/>
    <mergeCell ref="AP20:AR20"/>
    <mergeCell ref="AP21:AR21"/>
    <mergeCell ref="AP22:AR22"/>
    <mergeCell ref="AP23:AR23"/>
    <mergeCell ref="AP24:AR24"/>
    <mergeCell ref="BE8:BH8"/>
    <mergeCell ref="V8:V9"/>
    <mergeCell ref="W8:Z8"/>
    <mergeCell ref="AA8:AD8"/>
    <mergeCell ref="U8:U9"/>
    <mergeCell ref="AM10:AO10"/>
    <mergeCell ref="AM15:AO15"/>
    <mergeCell ref="AL8:AL9"/>
    <mergeCell ref="AK8:AK9"/>
    <mergeCell ref="AH8:AH9"/>
    <mergeCell ref="AI8:AI9"/>
    <mergeCell ref="AM8:AX8"/>
    <mergeCell ref="AM13:AO13"/>
    <mergeCell ref="AP13:AR13"/>
    <mergeCell ref="AM14:AO14"/>
    <mergeCell ref="AP14:AR14"/>
    <mergeCell ref="AS10:AU10"/>
    <mergeCell ref="AV10:AX10"/>
    <mergeCell ref="AS11:AU11"/>
    <mergeCell ref="AV11:AX11"/>
    <mergeCell ref="AS13:AU13"/>
    <mergeCell ref="AV13:AX13"/>
    <mergeCell ref="AS14:AU14"/>
    <mergeCell ref="AP10:AR10"/>
    <mergeCell ref="AJ8:AJ9"/>
    <mergeCell ref="R8:R9"/>
    <mergeCell ref="AE8:AE9"/>
    <mergeCell ref="AF8:AF9"/>
    <mergeCell ref="AG8:AG9"/>
    <mergeCell ref="T8:T9"/>
    <mergeCell ref="AM16:AO16"/>
    <mergeCell ref="AM17:AO17"/>
    <mergeCell ref="S8:S9"/>
    <mergeCell ref="AM22:AO22"/>
    <mergeCell ref="AM23:AO23"/>
    <mergeCell ref="AM24:AO24"/>
    <mergeCell ref="AM25:AO25"/>
    <mergeCell ref="AM18:AO18"/>
    <mergeCell ref="AM19:AO19"/>
    <mergeCell ref="AM20:AO20"/>
    <mergeCell ref="AM21:AO21"/>
    <mergeCell ref="AP11:AR11"/>
    <mergeCell ref="AP15:AR15"/>
    <mergeCell ref="AP16:AR16"/>
    <mergeCell ref="AP17:AR17"/>
    <mergeCell ref="AP18:AR18"/>
    <mergeCell ref="AP19:AR19"/>
    <mergeCell ref="AM11:AO11"/>
    <mergeCell ref="AP25:AR25"/>
    <mergeCell ref="F60:N60"/>
    <mergeCell ref="F61:N61"/>
    <mergeCell ref="E62:E66"/>
    <mergeCell ref="F62:N62"/>
    <mergeCell ref="F63:N63"/>
    <mergeCell ref="F64:N64"/>
    <mergeCell ref="F65:N65"/>
    <mergeCell ref="F66:N66"/>
    <mergeCell ref="H8:H9"/>
    <mergeCell ref="I8:I9"/>
    <mergeCell ref="J8:J9"/>
    <mergeCell ref="K8:K9"/>
    <mergeCell ref="F8:F9"/>
    <mergeCell ref="G8:G9"/>
    <mergeCell ref="M8:M9"/>
    <mergeCell ref="N8:N9"/>
    <mergeCell ref="B2:AL2"/>
    <mergeCell ref="C4:Q4"/>
    <mergeCell ref="J6:AL6"/>
    <mergeCell ref="A6:I6"/>
    <mergeCell ref="AM27:AO27"/>
    <mergeCell ref="AM28:AO28"/>
    <mergeCell ref="AM55:AO55"/>
    <mergeCell ref="AM29:AO29"/>
    <mergeCell ref="AM30:AO30"/>
    <mergeCell ref="AM31:AO31"/>
    <mergeCell ref="AM37:AO37"/>
    <mergeCell ref="AM40:AO40"/>
    <mergeCell ref="AM42:AO42"/>
    <mergeCell ref="AM46:AO46"/>
    <mergeCell ref="AM47:AO47"/>
    <mergeCell ref="A8:A9"/>
    <mergeCell ref="B8:B9"/>
    <mergeCell ref="C8:C9"/>
    <mergeCell ref="D8:D9"/>
    <mergeCell ref="E8:E9"/>
    <mergeCell ref="O8:O9"/>
    <mergeCell ref="P8:P9"/>
    <mergeCell ref="Q8:Q9"/>
    <mergeCell ref="AM26:AO26"/>
  </mergeCells>
  <phoneticPr fontId="45" type="noConversion"/>
  <dataValidations count="1">
    <dataValidation type="list" allowBlank="1" showInputMessage="1" showErrorMessage="1" sqref="P58 I58 AG58" xr:uid="{00000000-0002-0000-0100-000000000000}">
      <formula1>tipo</formula1>
    </dataValidation>
  </dataValidations>
  <pageMargins left="0.23622047244094491" right="0.15748031496062992" top="0.43307086614173229" bottom="0.74803149606299213" header="0.23622047244094491" footer="0.31496062992125984"/>
  <pageSetup scale="60" pageOrder="overThenDown" orientation="landscape" horizontalDpi="300" verticalDpi="300"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stopIfTrue="1" operator="equal" id="{198B8B4E-8B6F-44C8-AE4C-E4151DC74C00}">
            <xm:f>Resultados!$B$16</xm:f>
            <x14:dxf>
              <fill>
                <patternFill>
                  <bgColor rgb="FFFF0000"/>
                </patternFill>
              </fill>
            </x14:dxf>
          </x14:cfRule>
          <x14:cfRule type="cellIs" priority="2" operator="equal" id="{887F2563-33E3-45E1-A46A-8944246382B6}">
            <xm:f>Resultados!$B$15</xm:f>
            <x14:dxf>
              <fill>
                <patternFill>
                  <bgColor rgb="FFFFFF00"/>
                </patternFill>
              </fill>
            </x14:dxf>
          </x14:cfRule>
          <x14:cfRule type="cellIs" priority="3" operator="equal" id="{BF77B539-EF0F-4589-99E1-BF6390716B65}">
            <xm:f>Resultados!$B$14</xm:f>
            <x14:dxf>
              <fill>
                <patternFill>
                  <bgColor rgb="FF92D050"/>
                </patternFill>
              </fill>
            </x14:dxf>
          </x14:cfRule>
          <x14:cfRule type="cellIs" priority="4" operator="equal" id="{9154B524-F9A0-43F1-992D-B2FBF35B61F4}">
            <xm:f>Resultados!$B$13</xm:f>
            <x14:dxf>
              <fill>
                <patternFill>
                  <bgColor rgb="FF00B050"/>
                </patternFill>
              </fill>
            </x14:dxf>
          </x14:cfRule>
          <xm:sqref>BC10:BC57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E170EF4-3852-4B95-986A-098E3E8F85AB}">
          <x14:formula1>
            <xm:f>Resultados!$B$13:$B$16</xm:f>
          </x14:formula1>
          <xm:sqref>BC10:BC57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19"/>
  <sheetViews>
    <sheetView workbookViewId="0">
      <selection activeCell="H3" sqref="H3"/>
    </sheetView>
  </sheetViews>
  <sheetFormatPr baseColWidth="10" defaultColWidth="2.42578125" defaultRowHeight="11.25" x14ac:dyDescent="0.2"/>
  <cols>
    <col min="1" max="1" width="2.42578125" style="369"/>
    <col min="2" max="2" width="20.7109375" style="369" bestFit="1" customWidth="1"/>
    <col min="3" max="19" width="7.7109375" style="369" customWidth="1"/>
    <col min="20" max="16384" width="2.42578125" style="369"/>
  </cols>
  <sheetData>
    <row r="2" spans="2:19" x14ac:dyDescent="0.2">
      <c r="B2" s="369" t="s">
        <v>853</v>
      </c>
      <c r="C2" s="369" t="s">
        <v>397</v>
      </c>
      <c r="D2" s="369" t="s">
        <v>854</v>
      </c>
      <c r="E2" s="369" t="s">
        <v>855</v>
      </c>
      <c r="F2" s="369" t="s">
        <v>856</v>
      </c>
      <c r="G2" s="369" t="s">
        <v>857</v>
      </c>
      <c r="H2" s="369" t="s">
        <v>945</v>
      </c>
      <c r="I2" s="369" t="s">
        <v>938</v>
      </c>
      <c r="J2" s="369" t="s">
        <v>858</v>
      </c>
      <c r="K2" s="369" t="s">
        <v>859</v>
      </c>
      <c r="L2" s="369" t="s">
        <v>860</v>
      </c>
      <c r="M2" s="369" t="s">
        <v>520</v>
      </c>
      <c r="N2" s="369" t="s">
        <v>861</v>
      </c>
      <c r="O2" s="369" t="s">
        <v>862</v>
      </c>
      <c r="P2" s="369" t="s">
        <v>863</v>
      </c>
      <c r="Q2" s="369" t="s">
        <v>864</v>
      </c>
      <c r="R2" s="369" t="s">
        <v>865</v>
      </c>
      <c r="S2" s="369" t="s">
        <v>866</v>
      </c>
    </row>
    <row r="3" spans="2:19" x14ac:dyDescent="0.2">
      <c r="B3" s="369" t="s">
        <v>397</v>
      </c>
      <c r="C3" s="369" t="s">
        <v>784</v>
      </c>
      <c r="D3" s="369" t="s">
        <v>793</v>
      </c>
      <c r="E3" s="369" t="s">
        <v>815</v>
      </c>
      <c r="F3" s="369" t="s">
        <v>817</v>
      </c>
      <c r="G3" s="369" t="s">
        <v>819</v>
      </c>
      <c r="H3" s="369" t="s">
        <v>974</v>
      </c>
      <c r="I3" s="369" t="s">
        <v>1160</v>
      </c>
      <c r="J3" s="369" t="s">
        <v>785</v>
      </c>
      <c r="K3" s="369" t="s">
        <v>821</v>
      </c>
      <c r="L3" s="369" t="s">
        <v>823</v>
      </c>
      <c r="M3" s="369" t="s">
        <v>825</v>
      </c>
      <c r="N3" s="369" t="s">
        <v>830</v>
      </c>
      <c r="O3" s="369" t="s">
        <v>822</v>
      </c>
      <c r="P3" s="369" t="s">
        <v>831</v>
      </c>
      <c r="Q3" s="369" t="s">
        <v>837</v>
      </c>
      <c r="R3" s="369" t="s">
        <v>842</v>
      </c>
      <c r="S3" s="369" t="s">
        <v>844</v>
      </c>
    </row>
    <row r="4" spans="2:19" x14ac:dyDescent="0.2">
      <c r="B4" s="369" t="s">
        <v>854</v>
      </c>
      <c r="C4" s="369" t="s">
        <v>787</v>
      </c>
      <c r="D4" s="369" t="s">
        <v>794</v>
      </c>
      <c r="E4" s="369" t="s">
        <v>816</v>
      </c>
      <c r="F4" s="369" t="s">
        <v>818</v>
      </c>
      <c r="G4" s="369" t="s">
        <v>820</v>
      </c>
      <c r="J4" s="369" t="s">
        <v>826</v>
      </c>
      <c r="L4" s="369" t="s">
        <v>824</v>
      </c>
      <c r="M4" s="369" t="s">
        <v>1158</v>
      </c>
      <c r="P4" s="369" t="s">
        <v>832</v>
      </c>
      <c r="Q4" s="369" t="s">
        <v>839</v>
      </c>
      <c r="R4" s="369" t="s">
        <v>843</v>
      </c>
      <c r="S4" s="369" t="s">
        <v>845</v>
      </c>
    </row>
    <row r="5" spans="2:19" x14ac:dyDescent="0.2">
      <c r="B5" s="369" t="s">
        <v>855</v>
      </c>
      <c r="C5" s="369" t="s">
        <v>788</v>
      </c>
      <c r="D5" s="369" t="s">
        <v>811</v>
      </c>
      <c r="J5" s="369" t="s">
        <v>827</v>
      </c>
      <c r="M5" s="369" t="s">
        <v>1159</v>
      </c>
      <c r="P5" s="369" t="s">
        <v>833</v>
      </c>
      <c r="Q5" s="369" t="s">
        <v>840</v>
      </c>
      <c r="S5" s="369" t="s">
        <v>846</v>
      </c>
    </row>
    <row r="6" spans="2:19" x14ac:dyDescent="0.2">
      <c r="B6" s="369" t="s">
        <v>856</v>
      </c>
      <c r="C6" s="369" t="s">
        <v>789</v>
      </c>
      <c r="D6" s="369" t="s">
        <v>812</v>
      </c>
      <c r="J6" s="369" t="s">
        <v>828</v>
      </c>
      <c r="P6" s="369" t="s">
        <v>834</v>
      </c>
      <c r="Q6" s="369" t="s">
        <v>841</v>
      </c>
    </row>
    <row r="7" spans="2:19" x14ac:dyDescent="0.2">
      <c r="B7" s="369" t="s">
        <v>857</v>
      </c>
      <c r="C7" s="369" t="s">
        <v>791</v>
      </c>
      <c r="D7" s="369" t="s">
        <v>813</v>
      </c>
      <c r="J7" s="369" t="s">
        <v>829</v>
      </c>
      <c r="P7" s="369" t="s">
        <v>835</v>
      </c>
    </row>
    <row r="8" spans="2:19" x14ac:dyDescent="0.2">
      <c r="B8" s="369" t="s">
        <v>945</v>
      </c>
      <c r="D8" s="369" t="s">
        <v>814</v>
      </c>
      <c r="P8" s="369" t="s">
        <v>836</v>
      </c>
    </row>
    <row r="9" spans="2:19" x14ac:dyDescent="0.2">
      <c r="B9" s="369" t="s">
        <v>938</v>
      </c>
      <c r="P9" s="369" t="s">
        <v>838</v>
      </c>
    </row>
    <row r="10" spans="2:19" x14ac:dyDescent="0.2">
      <c r="B10" s="369" t="s">
        <v>858</v>
      </c>
    </row>
    <row r="11" spans="2:19" x14ac:dyDescent="0.2">
      <c r="B11" s="369" t="s">
        <v>859</v>
      </c>
    </row>
    <row r="12" spans="2:19" x14ac:dyDescent="0.2">
      <c r="B12" s="369" t="s">
        <v>860</v>
      </c>
    </row>
    <row r="13" spans="2:19" x14ac:dyDescent="0.2">
      <c r="B13" s="369" t="s">
        <v>520</v>
      </c>
    </row>
    <row r="14" spans="2:19" x14ac:dyDescent="0.2">
      <c r="B14" s="369" t="s">
        <v>861</v>
      </c>
    </row>
    <row r="15" spans="2:19" x14ac:dyDescent="0.2">
      <c r="B15" s="369" t="s">
        <v>862</v>
      </c>
    </row>
    <row r="16" spans="2:19" x14ac:dyDescent="0.2">
      <c r="B16" s="369" t="s">
        <v>863</v>
      </c>
    </row>
    <row r="17" spans="2:2" x14ac:dyDescent="0.2">
      <c r="B17" s="369" t="s">
        <v>864</v>
      </c>
    </row>
    <row r="18" spans="2:2" x14ac:dyDescent="0.2">
      <c r="B18" s="369" t="s">
        <v>865</v>
      </c>
    </row>
    <row r="19" spans="2:2" x14ac:dyDescent="0.2">
      <c r="B19" s="369" t="s">
        <v>866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8F98-9A93-409E-ACD9-AEA981606875}">
  <sheetPr>
    <pageSetUpPr fitToPage="1"/>
  </sheetPr>
  <dimension ref="A1:O47"/>
  <sheetViews>
    <sheetView showGridLines="0" zoomScale="80" zoomScaleNormal="80" zoomScaleSheetLayoutView="80" workbookViewId="0">
      <selection sqref="A1:B1"/>
    </sheetView>
  </sheetViews>
  <sheetFormatPr baseColWidth="10" defaultColWidth="0" defaultRowHeight="12.75" customHeight="1" zeroHeight="1" x14ac:dyDescent="0.2"/>
  <cols>
    <col min="1" max="1" width="6.28515625" style="1" customWidth="1"/>
    <col min="2" max="2" width="20.140625" style="1" customWidth="1"/>
    <col min="3" max="14" width="16" style="1" customWidth="1"/>
    <col min="15" max="15" width="1.7109375" style="1" customWidth="1"/>
    <col min="16" max="16384" width="11.42578125" style="1" hidden="1"/>
  </cols>
  <sheetData>
    <row r="1" spans="1:14" ht="63" customHeight="1" thickBot="1" x14ac:dyDescent="0.25">
      <c r="A1" s="711"/>
      <c r="B1" s="712"/>
      <c r="C1" s="713" t="s">
        <v>1162</v>
      </c>
      <c r="D1" s="713"/>
      <c r="E1" s="713"/>
      <c r="F1" s="713"/>
      <c r="G1" s="713"/>
      <c r="H1" s="713"/>
      <c r="I1" s="713"/>
      <c r="J1" s="713"/>
      <c r="K1" s="713"/>
      <c r="L1" s="713"/>
      <c r="M1" s="712"/>
      <c r="N1" s="714"/>
    </row>
    <row r="2" spans="1:14" ht="7.5" customHeight="1" thickBot="1" x14ac:dyDescent="0.25"/>
    <row r="3" spans="1:14" ht="40.5" customHeight="1" thickBot="1" x14ac:dyDescent="0.25">
      <c r="A3" s="715" t="s">
        <v>1163</v>
      </c>
      <c r="B3" s="716"/>
      <c r="C3" s="717"/>
      <c r="D3" s="718"/>
      <c r="E3" s="447"/>
      <c r="F3" s="448" t="s">
        <v>782</v>
      </c>
      <c r="G3" s="449"/>
      <c r="I3" s="450" t="s">
        <v>1164</v>
      </c>
      <c r="J3" s="719" t="str">
        <f>IF(G3="","",D16)</f>
        <v/>
      </c>
      <c r="K3" s="719"/>
      <c r="L3" s="719"/>
      <c r="M3" s="719"/>
      <c r="N3" s="720"/>
    </row>
    <row r="4" spans="1:14" ht="7.5" customHeight="1" thickBot="1" x14ac:dyDescent="0.25">
      <c r="A4" s="370"/>
      <c r="B4" s="370"/>
      <c r="C4" s="354"/>
      <c r="D4" s="354"/>
      <c r="E4" s="447"/>
      <c r="F4" s="370"/>
      <c r="G4" s="354"/>
      <c r="I4" s="451"/>
      <c r="J4" s="452"/>
      <c r="K4" s="452"/>
      <c r="L4" s="452"/>
      <c r="M4" s="452"/>
      <c r="N4" s="452"/>
    </row>
    <row r="5" spans="1:14" ht="60.75" customHeight="1" thickBot="1" x14ac:dyDescent="0.25">
      <c r="A5" s="715" t="s">
        <v>1165</v>
      </c>
      <c r="B5" s="716"/>
      <c r="C5" s="719" t="str">
        <f>IF($G$3="","",VLOOKUP($G$3,'Matriz de seguimiento'!$A$10:$AL$58,37,FALSE))</f>
        <v/>
      </c>
      <c r="D5" s="719"/>
      <c r="E5" s="720"/>
      <c r="G5" s="721" t="s">
        <v>1166</v>
      </c>
      <c r="H5" s="722"/>
      <c r="I5" s="719" t="str">
        <f>IF($G$3="","",VLOOKUP($G$3,'Matriz de seguimiento'!$A$10:$AL$58,38,FALSE))</f>
        <v/>
      </c>
      <c r="J5" s="719"/>
      <c r="K5" s="719"/>
      <c r="L5" s="719"/>
      <c r="M5" s="719"/>
      <c r="N5" s="720"/>
    </row>
    <row r="6" spans="1:14" ht="7.5" customHeight="1" thickBot="1" x14ac:dyDescent="0.25"/>
    <row r="7" spans="1:14" ht="21.75" customHeight="1" thickBot="1" x14ac:dyDescent="0.25">
      <c r="A7" s="721" t="s">
        <v>1167</v>
      </c>
      <c r="B7" s="722"/>
      <c r="C7" s="722"/>
      <c r="D7" s="722"/>
      <c r="E7" s="722"/>
      <c r="F7" s="722"/>
      <c r="G7" s="722"/>
      <c r="H7" s="722"/>
      <c r="I7" s="722"/>
      <c r="J7" s="722"/>
      <c r="K7" s="722"/>
      <c r="L7" s="722"/>
      <c r="M7" s="722"/>
      <c r="N7" s="723"/>
    </row>
    <row r="8" spans="1:14" ht="7.5" customHeight="1" thickBot="1" x14ac:dyDescent="0.25">
      <c r="A8" s="445"/>
      <c r="B8" s="445"/>
      <c r="C8" s="445"/>
      <c r="D8" s="445"/>
      <c r="E8" s="445"/>
    </row>
    <row r="9" spans="1:14" ht="45.75" customHeight="1" x14ac:dyDescent="0.2">
      <c r="A9" s="630" t="s">
        <v>1168</v>
      </c>
      <c r="B9" s="620"/>
      <c r="C9" s="620"/>
      <c r="D9" s="631"/>
      <c r="E9" s="453"/>
      <c r="F9" s="630" t="s">
        <v>1169</v>
      </c>
      <c r="G9" s="620"/>
      <c r="H9" s="620"/>
      <c r="I9" s="631"/>
      <c r="K9" s="630" t="s">
        <v>1170</v>
      </c>
      <c r="L9" s="620"/>
      <c r="M9" s="620"/>
      <c r="N9" s="631"/>
    </row>
    <row r="10" spans="1:14" ht="151.5" customHeight="1" thickBot="1" x14ac:dyDescent="0.25">
      <c r="A10" s="724" t="str">
        <f>IF($G$3="","",VLOOKUP($G$3,'Matriz de seguimiento'!$A$10:$AL$58,2,FALSE))</f>
        <v/>
      </c>
      <c r="B10" s="725"/>
      <c r="C10" s="725"/>
      <c r="D10" s="726"/>
      <c r="E10" s="453"/>
      <c r="F10" s="724" t="str">
        <f>IF($G$3="","",VLOOKUP($G$3,'Matriz de seguimiento'!$A$10:$AL$58,3,FALSE))</f>
        <v/>
      </c>
      <c r="G10" s="725"/>
      <c r="H10" s="725"/>
      <c r="I10" s="726"/>
      <c r="K10" s="724" t="str">
        <f>IF($G$3="","",VLOOKUP($G$3,'Matriz de seguimiento'!$A$10:$AL$58,4,FALSE))</f>
        <v/>
      </c>
      <c r="L10" s="725"/>
      <c r="M10" s="725"/>
      <c r="N10" s="726"/>
    </row>
    <row r="11" spans="1:14" ht="7.5" customHeight="1" thickBot="1" x14ac:dyDescent="0.25">
      <c r="C11" s="453"/>
      <c r="D11" s="453"/>
      <c r="E11" s="453"/>
    </row>
    <row r="12" spans="1:14" ht="21.75" customHeight="1" thickBot="1" x14ac:dyDescent="0.25">
      <c r="A12" s="721" t="s">
        <v>1171</v>
      </c>
      <c r="B12" s="722"/>
      <c r="C12" s="722"/>
      <c r="D12" s="722"/>
      <c r="E12" s="722"/>
      <c r="F12" s="722"/>
      <c r="G12" s="722"/>
      <c r="H12" s="722"/>
      <c r="I12" s="722"/>
      <c r="J12" s="722"/>
      <c r="K12" s="722"/>
      <c r="L12" s="722"/>
      <c r="M12" s="722"/>
      <c r="N12" s="723"/>
    </row>
    <row r="13" spans="1:14" ht="7.5" customHeight="1" thickBot="1" x14ac:dyDescent="0.25">
      <c r="A13" s="445"/>
      <c r="B13" s="445"/>
      <c r="C13" s="445"/>
      <c r="D13" s="445"/>
      <c r="E13" s="445"/>
    </row>
    <row r="14" spans="1:14" ht="35.25" customHeight="1" x14ac:dyDescent="0.2">
      <c r="A14" s="630" t="s">
        <v>9</v>
      </c>
      <c r="B14" s="620"/>
      <c r="C14" s="631"/>
      <c r="D14" s="727" t="str">
        <f>IF($G$3="","",VLOOKUP($G$3,'Matriz de seguimiento'!$A$10:$AL$58,5,FALSE))</f>
        <v/>
      </c>
      <c r="E14" s="629"/>
      <c r="F14" s="629"/>
      <c r="G14" s="629"/>
      <c r="H14" s="629"/>
      <c r="I14" s="629"/>
      <c r="J14" s="629"/>
      <c r="K14" s="629"/>
      <c r="L14" s="629"/>
      <c r="M14" s="629"/>
      <c r="N14" s="634"/>
    </row>
    <row r="15" spans="1:14" ht="35.25" customHeight="1" x14ac:dyDescent="0.2">
      <c r="A15" s="728" t="s">
        <v>1172</v>
      </c>
      <c r="B15" s="700"/>
      <c r="C15" s="729"/>
      <c r="D15" s="730" t="str">
        <f>IF($G$3="","",VLOOKUP($G$3,'Matriz de seguimiento'!$A$10:$AL$58,6,FALSE))</f>
        <v/>
      </c>
      <c r="E15" s="597"/>
      <c r="F15" s="597"/>
      <c r="G15" s="597"/>
      <c r="H15" s="597"/>
      <c r="I15" s="597"/>
      <c r="J15" s="597"/>
      <c r="K15" s="597"/>
      <c r="L15" s="597"/>
      <c r="M15" s="597"/>
      <c r="N15" s="605"/>
    </row>
    <row r="16" spans="1:14" ht="35.25" customHeight="1" thickBot="1" x14ac:dyDescent="0.25">
      <c r="A16" s="731" t="s">
        <v>14</v>
      </c>
      <c r="B16" s="621"/>
      <c r="C16" s="732"/>
      <c r="D16" s="733" t="str">
        <f>IF($G$3="","",VLOOKUP($G$3,'Matriz de seguimiento'!$A$10:$AL$58,12,FALSE))</f>
        <v/>
      </c>
      <c r="E16" s="734"/>
      <c r="F16" s="734"/>
      <c r="G16" s="734"/>
      <c r="H16" s="734"/>
      <c r="I16" s="734"/>
      <c r="J16" s="734"/>
      <c r="K16" s="734"/>
      <c r="L16" s="734"/>
      <c r="M16" s="734"/>
      <c r="N16" s="735"/>
    </row>
    <row r="17" spans="1:14" ht="7.5" customHeight="1" thickBot="1" x14ac:dyDescent="0.25"/>
    <row r="18" spans="1:14" ht="57.75" customHeight="1" x14ac:dyDescent="0.2">
      <c r="A18" s="630" t="s">
        <v>15</v>
      </c>
      <c r="B18" s="620"/>
      <c r="C18" s="631"/>
      <c r="D18" s="727" t="str">
        <f>IF($G$3="","",VLOOKUP($G$3,'Matriz de seguimiento'!$A$10:$AL$58,13,FALSE))</f>
        <v/>
      </c>
      <c r="E18" s="629"/>
      <c r="F18" s="629"/>
      <c r="G18" s="629"/>
      <c r="H18" s="629"/>
      <c r="I18" s="629"/>
      <c r="J18" s="629"/>
      <c r="K18" s="629"/>
      <c r="L18" s="629"/>
      <c r="M18" s="629"/>
      <c r="N18" s="634"/>
    </row>
    <row r="19" spans="1:14" ht="36" customHeight="1" x14ac:dyDescent="0.2">
      <c r="A19" s="728" t="s">
        <v>1173</v>
      </c>
      <c r="B19" s="700"/>
      <c r="C19" s="729"/>
      <c r="D19" s="730" t="str">
        <f>IF($G$3="","",VLOOKUP($G$3,'Matriz de seguimiento'!$A$10:$AL$58,14,FALSE))</f>
        <v/>
      </c>
      <c r="E19" s="597"/>
      <c r="F19" s="597"/>
      <c r="G19" s="597"/>
      <c r="H19" s="597"/>
      <c r="I19" s="597"/>
      <c r="J19" s="597"/>
      <c r="K19" s="597"/>
      <c r="L19" s="597"/>
      <c r="M19" s="597"/>
      <c r="N19" s="605"/>
    </row>
    <row r="20" spans="1:14" ht="36" customHeight="1" x14ac:dyDescent="0.2">
      <c r="A20" s="728" t="s">
        <v>1174</v>
      </c>
      <c r="B20" s="700"/>
      <c r="C20" s="729"/>
      <c r="D20" s="730" t="str">
        <f>IF($G$3="","",VLOOKUP($G$3,'Matriz de seguimiento'!$A$10:$AL$58,15,FALSE))</f>
        <v/>
      </c>
      <c r="E20" s="597"/>
      <c r="F20" s="597"/>
      <c r="G20" s="597"/>
      <c r="H20" s="597"/>
      <c r="I20" s="597"/>
      <c r="J20" s="597"/>
      <c r="K20" s="597"/>
      <c r="L20" s="597"/>
      <c r="M20" s="597"/>
      <c r="N20" s="605"/>
    </row>
    <row r="21" spans="1:14" ht="72" customHeight="1" x14ac:dyDescent="0.2">
      <c r="A21" s="728" t="s">
        <v>19</v>
      </c>
      <c r="B21" s="700"/>
      <c r="C21" s="729"/>
      <c r="D21" s="730" t="str">
        <f>IF($G$3="","",VLOOKUP($G$3,'Matriz de seguimiento'!$A$10:$AL$58,17,FALSE))</f>
        <v/>
      </c>
      <c r="E21" s="597"/>
      <c r="F21" s="597"/>
      <c r="G21" s="597"/>
      <c r="H21" s="597"/>
      <c r="I21" s="597"/>
      <c r="J21" s="597"/>
      <c r="K21" s="597"/>
      <c r="L21" s="597"/>
      <c r="M21" s="597"/>
      <c r="N21" s="605"/>
    </row>
    <row r="22" spans="1:14" ht="36" customHeight="1" x14ac:dyDescent="0.2">
      <c r="A22" s="728" t="s">
        <v>1175</v>
      </c>
      <c r="B22" s="700"/>
      <c r="C22" s="729"/>
      <c r="D22" s="730" t="str">
        <f>IF($G$3="","",VLOOKUP($G$3,'Matriz de seguimiento'!$A$10:$AL$58,16,FALSE))</f>
        <v/>
      </c>
      <c r="E22" s="597"/>
      <c r="F22" s="597"/>
      <c r="G22" s="597"/>
      <c r="H22" s="597"/>
      <c r="I22" s="597"/>
      <c r="J22" s="597"/>
      <c r="K22" s="597"/>
      <c r="L22" s="597"/>
      <c r="M22" s="597"/>
      <c r="N22" s="605"/>
    </row>
    <row r="23" spans="1:14" ht="36" customHeight="1" thickBot="1" x14ac:dyDescent="0.25">
      <c r="A23" s="731" t="s">
        <v>1176</v>
      </c>
      <c r="B23" s="621"/>
      <c r="C23" s="732"/>
      <c r="D23" s="730" t="str">
        <f>IF($G$3="","",VLOOKUP($G$3,'Matriz de seguimiento'!$A$10:$AL$58,18,FALSE))</f>
        <v/>
      </c>
      <c r="E23" s="597"/>
      <c r="F23" s="597"/>
      <c r="G23" s="597"/>
      <c r="H23" s="597"/>
      <c r="I23" s="597"/>
      <c r="J23" s="597"/>
      <c r="K23" s="597"/>
      <c r="L23" s="597"/>
      <c r="M23" s="597"/>
      <c r="N23" s="605"/>
    </row>
    <row r="24" spans="1:14" ht="7.5" customHeight="1" thickBot="1" x14ac:dyDescent="0.25">
      <c r="A24" s="370"/>
      <c r="B24" s="370"/>
      <c r="C24" s="370"/>
      <c r="D24" s="87"/>
      <c r="E24" s="87"/>
      <c r="F24" s="87"/>
      <c r="G24" s="87"/>
      <c r="H24" s="87"/>
      <c r="I24" s="87"/>
      <c r="J24" s="87"/>
      <c r="K24" s="87"/>
      <c r="L24" s="87"/>
      <c r="M24" s="87"/>
      <c r="N24" s="87"/>
    </row>
    <row r="25" spans="1:14" ht="67.5" customHeight="1" thickBot="1" x14ac:dyDescent="0.25">
      <c r="A25" s="738" t="s">
        <v>1177</v>
      </c>
      <c r="B25" s="739"/>
      <c r="C25" s="740"/>
      <c r="D25" s="741" t="str">
        <f>IF($G$3="","",VLOOKUP($G$3,'Matriz de seguimiento'!$A$10:$AL$58,31,FALSE))</f>
        <v/>
      </c>
      <c r="E25" s="742"/>
      <c r="F25" s="742"/>
      <c r="G25" s="742"/>
      <c r="H25" s="743"/>
      <c r="I25" s="744" t="s">
        <v>1187</v>
      </c>
      <c r="J25" s="745"/>
      <c r="K25" s="746" t="str">
        <f>IF($G$3="","",VLOOKUP($G$3,'Matriz de seguimiento'!$A$10:$AL$58,35,FALSE))</f>
        <v/>
      </c>
      <c r="L25" s="747"/>
      <c r="M25" s="747"/>
      <c r="N25" s="748"/>
    </row>
    <row r="26" spans="1:14" ht="7.5" customHeight="1" thickBot="1" x14ac:dyDescent="0.25"/>
    <row r="27" spans="1:14" ht="21.75" customHeight="1" thickBot="1" x14ac:dyDescent="0.25">
      <c r="A27" s="749" t="s">
        <v>1178</v>
      </c>
      <c r="B27" s="750"/>
      <c r="C27" s="750"/>
      <c r="D27" s="750"/>
      <c r="E27" s="750"/>
      <c r="F27" s="750"/>
      <c r="G27" s="750"/>
      <c r="H27" s="750"/>
      <c r="I27" s="750"/>
      <c r="J27" s="750"/>
      <c r="K27" s="750"/>
      <c r="L27" s="750"/>
      <c r="M27" s="750"/>
      <c r="N27" s="751"/>
    </row>
    <row r="28" spans="1:14" ht="7.5" customHeight="1" thickBot="1" x14ac:dyDescent="0.25">
      <c r="A28" s="445"/>
      <c r="B28" s="445"/>
      <c r="C28" s="445"/>
      <c r="D28" s="445"/>
      <c r="E28" s="445"/>
    </row>
    <row r="29" spans="1:14" s="457" customFormat="1" ht="27.75" customHeight="1" thickBot="1" x14ac:dyDescent="0.3">
      <c r="A29" s="752" t="s">
        <v>1179</v>
      </c>
      <c r="B29" s="753"/>
      <c r="C29" s="454" t="s">
        <v>714</v>
      </c>
      <c r="D29" s="455" t="s">
        <v>715</v>
      </c>
      <c r="E29" s="455" t="s">
        <v>716</v>
      </c>
      <c r="F29" s="455" t="s">
        <v>717</v>
      </c>
      <c r="G29" s="455" t="s">
        <v>718</v>
      </c>
      <c r="H29" s="455" t="s">
        <v>719</v>
      </c>
      <c r="I29" s="455" t="s">
        <v>720</v>
      </c>
      <c r="J29" s="455" t="s">
        <v>721</v>
      </c>
      <c r="K29" s="455" t="s">
        <v>722</v>
      </c>
      <c r="L29" s="455" t="s">
        <v>723</v>
      </c>
      <c r="M29" s="455" t="s">
        <v>724</v>
      </c>
      <c r="N29" s="456" t="s">
        <v>725</v>
      </c>
    </row>
    <row r="30" spans="1:14" ht="93.75" customHeight="1" x14ac:dyDescent="0.2">
      <c r="A30" s="458" t="s">
        <v>924</v>
      </c>
      <c r="B30" s="459" t="str">
        <f>IF($G$3="","",VLOOKUP($G$3,'Matriz de seguimiento'!$A$10:$AL$58,19,FALSE))</f>
        <v/>
      </c>
      <c r="C30" s="460"/>
      <c r="D30" s="461"/>
      <c r="E30" s="462"/>
      <c r="F30" s="462"/>
      <c r="G30" s="462"/>
      <c r="H30" s="462"/>
      <c r="I30" s="462"/>
      <c r="J30" s="462"/>
      <c r="K30" s="462"/>
      <c r="L30" s="462"/>
      <c r="M30" s="462"/>
      <c r="N30" s="463"/>
    </row>
    <row r="31" spans="1:14" ht="93.75" customHeight="1" thickBot="1" x14ac:dyDescent="0.25">
      <c r="A31" s="464" t="s">
        <v>925</v>
      </c>
      <c r="B31" s="465" t="str">
        <f>IF($G$3="","",VLOOKUP($G$3,'Matriz de seguimiento'!$A$10:$AL$58,20,FALSE))</f>
        <v/>
      </c>
      <c r="C31" s="466"/>
      <c r="D31" s="467"/>
      <c r="E31" s="468"/>
      <c r="F31" s="468"/>
      <c r="G31" s="468"/>
      <c r="H31" s="468"/>
      <c r="I31" s="468"/>
      <c r="J31" s="468"/>
      <c r="K31" s="468"/>
      <c r="L31" s="468"/>
      <c r="M31" s="468"/>
      <c r="N31" s="469"/>
    </row>
    <row r="32" spans="1:14" ht="42" customHeight="1" thickBot="1" x14ac:dyDescent="0.25">
      <c r="A32" s="754" t="s">
        <v>1180</v>
      </c>
      <c r="B32" s="755"/>
      <c r="C32" s="471" t="str">
        <f>IF(C31="","",C30/C31)</f>
        <v/>
      </c>
      <c r="D32" s="470" t="str">
        <f t="shared" ref="D32:N32" si="0">IF(D31="","",D30/D31)</f>
        <v/>
      </c>
      <c r="E32" s="470" t="str">
        <f t="shared" si="0"/>
        <v/>
      </c>
      <c r="F32" s="470" t="str">
        <f t="shared" si="0"/>
        <v/>
      </c>
      <c r="G32" s="470" t="str">
        <f t="shared" si="0"/>
        <v/>
      </c>
      <c r="H32" s="470" t="str">
        <f t="shared" si="0"/>
        <v/>
      </c>
      <c r="I32" s="470" t="str">
        <f t="shared" si="0"/>
        <v/>
      </c>
      <c r="J32" s="470" t="str">
        <f t="shared" si="0"/>
        <v/>
      </c>
      <c r="K32" s="470" t="str">
        <f t="shared" si="0"/>
        <v/>
      </c>
      <c r="L32" s="470" t="str">
        <f t="shared" si="0"/>
        <v/>
      </c>
      <c r="M32" s="470" t="str">
        <f t="shared" si="0"/>
        <v/>
      </c>
      <c r="N32" s="472" t="str">
        <f t="shared" si="0"/>
        <v/>
      </c>
    </row>
    <row r="33" spans="1:14" ht="7.5" customHeight="1" thickBot="1" x14ac:dyDescent="0.25"/>
    <row r="34" spans="1:14" ht="21.75" customHeight="1" thickBot="1" x14ac:dyDescent="0.25">
      <c r="A34" s="721" t="s">
        <v>1181</v>
      </c>
      <c r="B34" s="722"/>
      <c r="C34" s="722"/>
      <c r="D34" s="722"/>
      <c r="E34" s="722"/>
      <c r="F34" s="722"/>
      <c r="G34" s="722"/>
      <c r="H34" s="722"/>
      <c r="I34" s="722"/>
      <c r="J34" s="722"/>
      <c r="K34" s="722"/>
      <c r="L34" s="722"/>
      <c r="M34" s="722"/>
      <c r="N34" s="723"/>
    </row>
    <row r="35" spans="1:14" ht="21.75" customHeight="1" thickBot="1" x14ac:dyDescent="0.25">
      <c r="A35" s="756" t="s">
        <v>1182</v>
      </c>
      <c r="B35" s="757"/>
      <c r="C35" s="757"/>
      <c r="D35" s="757"/>
      <c r="E35" s="757"/>
      <c r="F35" s="757"/>
      <c r="G35" s="757"/>
      <c r="H35" s="757"/>
      <c r="I35" s="757"/>
      <c r="J35" s="757"/>
      <c r="K35" s="757"/>
      <c r="L35" s="757"/>
      <c r="M35" s="757"/>
      <c r="N35" s="758"/>
    </row>
    <row r="36" spans="1:14" ht="7.5" customHeight="1" thickBot="1" x14ac:dyDescent="0.25">
      <c r="A36" s="445"/>
      <c r="B36" s="445"/>
      <c r="C36" s="445"/>
      <c r="D36" s="445"/>
      <c r="E36" s="445"/>
    </row>
    <row r="37" spans="1:14" s="447" customFormat="1" ht="42.75" customHeight="1" x14ac:dyDescent="0.25">
      <c r="A37" s="630" t="s">
        <v>1183</v>
      </c>
      <c r="B37" s="620"/>
      <c r="C37" s="736"/>
      <c r="D37" s="736"/>
      <c r="E37" s="736"/>
      <c r="F37" s="736"/>
      <c r="G37" s="736"/>
      <c r="H37" s="736"/>
      <c r="I37" s="736"/>
      <c r="J37" s="736"/>
      <c r="K37" s="736"/>
      <c r="L37" s="736"/>
      <c r="M37" s="736"/>
      <c r="N37" s="737"/>
    </row>
    <row r="38" spans="1:14" s="447" customFormat="1" ht="42.75" customHeight="1" x14ac:dyDescent="0.25">
      <c r="A38" s="728" t="s">
        <v>1184</v>
      </c>
      <c r="B38" s="700"/>
      <c r="C38" s="759"/>
      <c r="D38" s="759"/>
      <c r="E38" s="759"/>
      <c r="F38" s="759"/>
      <c r="G38" s="759"/>
      <c r="H38" s="759"/>
      <c r="I38" s="759"/>
      <c r="J38" s="759"/>
      <c r="K38" s="759"/>
      <c r="L38" s="759"/>
      <c r="M38" s="759"/>
      <c r="N38" s="760"/>
    </row>
    <row r="39" spans="1:14" s="447" customFormat="1" ht="42.75" customHeight="1" x14ac:dyDescent="0.25">
      <c r="A39" s="728" t="s">
        <v>1185</v>
      </c>
      <c r="B39" s="700"/>
      <c r="C39" s="759"/>
      <c r="D39" s="759"/>
      <c r="E39" s="759"/>
      <c r="F39" s="759"/>
      <c r="G39" s="759"/>
      <c r="H39" s="759"/>
      <c r="I39" s="759"/>
      <c r="J39" s="759"/>
      <c r="K39" s="759"/>
      <c r="L39" s="759"/>
      <c r="M39" s="759"/>
      <c r="N39" s="760"/>
    </row>
    <row r="40" spans="1:14" s="447" customFormat="1" ht="42.75" customHeight="1" thickBot="1" x14ac:dyDescent="0.3">
      <c r="A40" s="731" t="s">
        <v>1186</v>
      </c>
      <c r="B40" s="621"/>
      <c r="C40" s="761"/>
      <c r="D40" s="761"/>
      <c r="E40" s="761"/>
      <c r="F40" s="761"/>
      <c r="G40" s="761"/>
      <c r="H40" s="761"/>
      <c r="I40" s="761"/>
      <c r="J40" s="761"/>
      <c r="K40" s="761"/>
      <c r="L40" s="761"/>
      <c r="M40" s="761"/>
      <c r="N40" s="762"/>
    </row>
    <row r="41" spans="1:14" x14ac:dyDescent="0.2"/>
    <row r="42" spans="1:14" x14ac:dyDescent="0.2"/>
    <row r="43" spans="1:14" x14ac:dyDescent="0.2"/>
    <row r="44" spans="1:14" x14ac:dyDescent="0.2"/>
    <row r="45" spans="1:14" x14ac:dyDescent="0.2"/>
    <row r="46" spans="1:14" x14ac:dyDescent="0.2"/>
    <row r="47" spans="1:14" x14ac:dyDescent="0.2"/>
  </sheetData>
  <mergeCells count="53">
    <mergeCell ref="A38:B38"/>
    <mergeCell ref="C38:N38"/>
    <mergeCell ref="A39:B39"/>
    <mergeCell ref="C39:N39"/>
    <mergeCell ref="A40:B40"/>
    <mergeCell ref="C40:N40"/>
    <mergeCell ref="A37:B37"/>
    <mergeCell ref="C37:N37"/>
    <mergeCell ref="A22:C22"/>
    <mergeCell ref="D22:N22"/>
    <mergeCell ref="A23:C23"/>
    <mergeCell ref="D23:N23"/>
    <mergeCell ref="A25:C25"/>
    <mergeCell ref="D25:H25"/>
    <mergeCell ref="I25:J25"/>
    <mergeCell ref="K25:N25"/>
    <mergeCell ref="A27:N27"/>
    <mergeCell ref="A29:B29"/>
    <mergeCell ref="A32:B32"/>
    <mergeCell ref="A34:N34"/>
    <mergeCell ref="A35:N35"/>
    <mergeCell ref="A19:C19"/>
    <mergeCell ref="D19:N19"/>
    <mergeCell ref="A20:C20"/>
    <mergeCell ref="D20:N20"/>
    <mergeCell ref="A21:C21"/>
    <mergeCell ref="D21:N21"/>
    <mergeCell ref="A15:C15"/>
    <mergeCell ref="D15:N15"/>
    <mergeCell ref="A16:C16"/>
    <mergeCell ref="D16:N16"/>
    <mergeCell ref="A18:C18"/>
    <mergeCell ref="D18:N18"/>
    <mergeCell ref="A10:D10"/>
    <mergeCell ref="F10:I10"/>
    <mergeCell ref="K10:N10"/>
    <mergeCell ref="A12:N12"/>
    <mergeCell ref="A14:C14"/>
    <mergeCell ref="D14:N14"/>
    <mergeCell ref="A9:D9"/>
    <mergeCell ref="F9:I9"/>
    <mergeCell ref="K9:N9"/>
    <mergeCell ref="A1:B1"/>
    <mergeCell ref="C1:L1"/>
    <mergeCell ref="M1:N1"/>
    <mergeCell ref="A3:B3"/>
    <mergeCell ref="C3:D3"/>
    <mergeCell ref="J3:N3"/>
    <mergeCell ref="A5:B5"/>
    <mergeCell ref="C5:E5"/>
    <mergeCell ref="G5:H5"/>
    <mergeCell ref="I5:N5"/>
    <mergeCell ref="A7:N7"/>
  </mergeCells>
  <dataValidations count="2">
    <dataValidation type="list" allowBlank="1" showInputMessage="1" showErrorMessage="1" sqref="G3:G4" xr:uid="{850B9147-A39B-46BC-869C-D56853D99D14}">
      <formula1>INDIRECT($C$3)</formula1>
    </dataValidation>
    <dataValidation type="list" allowBlank="1" showInputMessage="1" showErrorMessage="1" sqref="C3:C4" xr:uid="{A3B3CACC-228C-478C-8467-13522B97F370}">
      <formula1>Áreas</formula1>
    </dataValidation>
  </dataValidations>
  <pageMargins left="0.11811023622047245" right="7.874015748031496E-2" top="0.35433070866141736" bottom="0.31496062992125984" header="0.23622047244094491" footer="0.15748031496062992"/>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2"/>
  <sheetViews>
    <sheetView topLeftCell="D1" workbookViewId="0">
      <selection activeCell="C19" sqref="C19"/>
    </sheetView>
  </sheetViews>
  <sheetFormatPr baseColWidth="10" defaultRowHeight="15" x14ac:dyDescent="0.25"/>
  <cols>
    <col min="1" max="1" width="5.7109375" customWidth="1"/>
    <col min="2" max="2" width="48.85546875" customWidth="1"/>
    <col min="3" max="5" width="14.7109375" customWidth="1"/>
    <col min="6" max="6" width="14.42578125" customWidth="1"/>
    <col min="7" max="7" width="6" customWidth="1"/>
    <col min="8" max="8" width="20.7109375" customWidth="1"/>
    <col min="9" max="9" width="9.42578125" customWidth="1"/>
  </cols>
  <sheetData>
    <row r="2" spans="2:9" ht="15.75" thickBot="1" x14ac:dyDescent="0.3"/>
    <row r="3" spans="2:9" ht="15.75" thickBot="1" x14ac:dyDescent="0.3">
      <c r="B3" s="508" t="s">
        <v>30</v>
      </c>
      <c r="C3" s="414" t="s">
        <v>1009</v>
      </c>
      <c r="D3" s="415" t="s">
        <v>1007</v>
      </c>
      <c r="E3" s="416" t="s">
        <v>1008</v>
      </c>
      <c r="F3" s="506" t="s">
        <v>1229</v>
      </c>
    </row>
    <row r="4" spans="2:9" ht="42.75" customHeight="1" x14ac:dyDescent="0.25">
      <c r="B4" s="417" t="s">
        <v>1358</v>
      </c>
      <c r="C4" s="418">
        <v>10</v>
      </c>
      <c r="D4" s="419">
        <v>1</v>
      </c>
      <c r="E4" s="419" t="s">
        <v>40</v>
      </c>
      <c r="F4" s="424" t="s">
        <v>40</v>
      </c>
    </row>
    <row r="5" spans="2:9" ht="60" customHeight="1" x14ac:dyDescent="0.25">
      <c r="B5" s="420" t="s">
        <v>1359</v>
      </c>
      <c r="C5" s="33">
        <v>4</v>
      </c>
      <c r="D5" s="34">
        <v>4</v>
      </c>
      <c r="E5" s="34" t="s">
        <v>40</v>
      </c>
      <c r="F5" s="35" t="s">
        <v>40</v>
      </c>
    </row>
    <row r="6" spans="2:9" ht="46.5" customHeight="1" x14ac:dyDescent="0.25">
      <c r="B6" s="420" t="s">
        <v>1011</v>
      </c>
      <c r="C6" s="33">
        <v>3</v>
      </c>
      <c r="D6" s="34">
        <v>2</v>
      </c>
      <c r="E6" s="34">
        <v>1</v>
      </c>
      <c r="F6" s="35" t="s">
        <v>40</v>
      </c>
    </row>
    <row r="7" spans="2:9" ht="60" customHeight="1" x14ac:dyDescent="0.25">
      <c r="B7" s="420" t="s">
        <v>1012</v>
      </c>
      <c r="C7" s="33">
        <v>7</v>
      </c>
      <c r="D7" s="34">
        <v>4</v>
      </c>
      <c r="E7" s="34">
        <v>2</v>
      </c>
      <c r="F7" s="35">
        <v>0</v>
      </c>
    </row>
    <row r="8" spans="2:9" ht="42" customHeight="1" x14ac:dyDescent="0.25">
      <c r="B8" s="420" t="s">
        <v>1013</v>
      </c>
      <c r="C8" s="33">
        <v>2</v>
      </c>
      <c r="D8" s="34">
        <v>4</v>
      </c>
      <c r="E8" s="34" t="s">
        <v>40</v>
      </c>
      <c r="F8" s="35">
        <v>1</v>
      </c>
    </row>
    <row r="9" spans="2:9" ht="30.75" customHeight="1" thickBot="1" x14ac:dyDescent="0.3">
      <c r="B9" s="421" t="s">
        <v>467</v>
      </c>
      <c r="C9" s="422">
        <v>1</v>
      </c>
      <c r="D9" s="423">
        <v>2</v>
      </c>
      <c r="E9" s="423" t="s">
        <v>40</v>
      </c>
      <c r="F9" s="425" t="s">
        <v>40</v>
      </c>
    </row>
    <row r="10" spans="2:9" ht="6" customHeight="1" x14ac:dyDescent="0.25"/>
    <row r="12" spans="2:9" x14ac:dyDescent="0.25">
      <c r="B12" s="433">
        <f>F17/(C17*E13)</f>
        <v>0.86458333333333337</v>
      </c>
      <c r="C12" s="413" t="s">
        <v>1014</v>
      </c>
      <c r="D12" s="413" t="s">
        <v>1015</v>
      </c>
      <c r="E12" s="434" t="s">
        <v>365</v>
      </c>
      <c r="F12" s="413" t="s">
        <v>1016</v>
      </c>
      <c r="H12" s="509" t="s">
        <v>1227</v>
      </c>
      <c r="I12" s="515">
        <v>0.3</v>
      </c>
    </row>
    <row r="13" spans="2:9" x14ac:dyDescent="0.25">
      <c r="B13" s="429" t="s">
        <v>1006</v>
      </c>
      <c r="C13" s="413">
        <f>SUM(C4:C9)</f>
        <v>27</v>
      </c>
      <c r="D13" s="428">
        <f>C13/$C$17</f>
        <v>0.5625</v>
      </c>
      <c r="E13" s="261">
        <v>4</v>
      </c>
      <c r="F13" s="261">
        <f>C13*E13</f>
        <v>108</v>
      </c>
      <c r="H13" s="510" t="s">
        <v>1004</v>
      </c>
      <c r="I13" s="515">
        <v>0.3</v>
      </c>
    </row>
    <row r="14" spans="2:9" x14ac:dyDescent="0.25">
      <c r="B14" s="430" t="s">
        <v>1005</v>
      </c>
      <c r="C14" s="413">
        <f>SUM(D4:D9)</f>
        <v>17</v>
      </c>
      <c r="D14" s="428">
        <f t="shared" ref="D14:D16" si="0">C14/$C$17</f>
        <v>0.35416666666666669</v>
      </c>
      <c r="E14" s="261">
        <v>3</v>
      </c>
      <c r="F14" s="261">
        <f>C14*E14</f>
        <v>51</v>
      </c>
      <c r="H14" s="511" t="s">
        <v>1005</v>
      </c>
      <c r="I14" s="515">
        <v>0.3</v>
      </c>
    </row>
    <row r="15" spans="2:9" x14ac:dyDescent="0.25">
      <c r="B15" s="431" t="s">
        <v>1004</v>
      </c>
      <c r="C15" s="413">
        <f>SUM(E4:E9)</f>
        <v>3</v>
      </c>
      <c r="D15" s="428">
        <f t="shared" si="0"/>
        <v>6.25E-2</v>
      </c>
      <c r="E15" s="261">
        <v>2</v>
      </c>
      <c r="F15" s="261">
        <f>C15*E15</f>
        <v>6</v>
      </c>
      <c r="H15" s="512" t="s">
        <v>1006</v>
      </c>
      <c r="I15" s="515">
        <v>0.1</v>
      </c>
    </row>
    <row r="16" spans="2:9" x14ac:dyDescent="0.25">
      <c r="B16" s="432" t="s">
        <v>1333</v>
      </c>
      <c r="C16" s="413">
        <f>SUM(F4:F9)</f>
        <v>1</v>
      </c>
      <c r="D16" s="428">
        <f t="shared" si="0"/>
        <v>2.0833333333333332E-2</v>
      </c>
      <c r="E16" s="261">
        <v>1</v>
      </c>
      <c r="F16" s="261">
        <f>C16*E16</f>
        <v>1</v>
      </c>
      <c r="H16" s="413" t="s">
        <v>1010</v>
      </c>
      <c r="I16" s="516">
        <f>SUM(I12:I15)</f>
        <v>0.99999999999999989</v>
      </c>
    </row>
    <row r="17" spans="2:9" x14ac:dyDescent="0.25">
      <c r="B17" s="426" t="s">
        <v>1010</v>
      </c>
      <c r="C17" s="412">
        <f>SUM(C13:C16)</f>
        <v>48</v>
      </c>
      <c r="D17" s="427"/>
      <c r="E17" s="279"/>
      <c r="F17" s="412">
        <f>SUM(F13:F16)</f>
        <v>166</v>
      </c>
    </row>
    <row r="18" spans="2:9" x14ac:dyDescent="0.25">
      <c r="H18" s="413" t="s">
        <v>1278</v>
      </c>
      <c r="I18" s="514">
        <f>B12</f>
        <v>0.86458333333333337</v>
      </c>
    </row>
    <row r="19" spans="2:9" x14ac:dyDescent="0.25">
      <c r="B19" s="412" t="s">
        <v>1230</v>
      </c>
      <c r="C19" s="435">
        <f>B12*75%</f>
        <v>0.6484375</v>
      </c>
    </row>
    <row r="20" spans="2:9" x14ac:dyDescent="0.25">
      <c r="H20" s="413" t="s">
        <v>1279</v>
      </c>
      <c r="I20" s="513">
        <f>I18-I21/2</f>
        <v>0.85458333333333336</v>
      </c>
    </row>
    <row r="21" spans="2:9" x14ac:dyDescent="0.25">
      <c r="H21" s="413" t="s">
        <v>1280</v>
      </c>
      <c r="I21" s="517">
        <v>0.02</v>
      </c>
    </row>
    <row r="22" spans="2:9" x14ac:dyDescent="0.25">
      <c r="H22" s="413" t="s">
        <v>1281</v>
      </c>
      <c r="I22" s="513">
        <f>SUM(I12:I16)-I20-I21</f>
        <v>1.1254166666666663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E42B-2494-4BED-A4A0-969E7EED6049}">
  <dimension ref="B3:B27"/>
  <sheetViews>
    <sheetView workbookViewId="0">
      <selection activeCell="B9" sqref="B9:B10"/>
    </sheetView>
  </sheetViews>
  <sheetFormatPr baseColWidth="10" defaultRowHeight="15" x14ac:dyDescent="0.25"/>
  <sheetData>
    <row r="3" spans="2:2" x14ac:dyDescent="0.25">
      <c r="B3" t="s">
        <v>1352</v>
      </c>
    </row>
    <row r="5" spans="2:2" x14ac:dyDescent="0.25">
      <c r="B5" t="s">
        <v>1353</v>
      </c>
    </row>
    <row r="6" spans="2:2" x14ac:dyDescent="0.25">
      <c r="B6" t="s">
        <v>1354</v>
      </c>
    </row>
    <row r="7" spans="2:2" x14ac:dyDescent="0.25">
      <c r="B7" t="s">
        <v>1355</v>
      </c>
    </row>
    <row r="8" spans="2:2" x14ac:dyDescent="0.25">
      <c r="B8" t="s">
        <v>1416</v>
      </c>
    </row>
    <row r="9" spans="2:2" x14ac:dyDescent="0.25">
      <c r="B9" t="s">
        <v>1356</v>
      </c>
    </row>
    <row r="10" spans="2:2" x14ac:dyDescent="0.25">
      <c r="B10" t="s">
        <v>1417</v>
      </c>
    </row>
    <row r="11" spans="2:2" x14ac:dyDescent="0.25">
      <c r="B11" t="s">
        <v>1421</v>
      </c>
    </row>
    <row r="12" spans="2:2" x14ac:dyDescent="0.25">
      <c r="B12" t="s">
        <v>1362</v>
      </c>
    </row>
    <row r="13" spans="2:2" x14ac:dyDescent="0.25">
      <c r="B13" s="259" t="s">
        <v>1419</v>
      </c>
    </row>
    <row r="14" spans="2:2" x14ac:dyDescent="0.25">
      <c r="B14" s="259"/>
    </row>
    <row r="15" spans="2:2" x14ac:dyDescent="0.25">
      <c r="B15" s="259" t="s">
        <v>1422</v>
      </c>
    </row>
    <row r="16" spans="2:2" x14ac:dyDescent="0.25">
      <c r="B16" s="259" t="s">
        <v>1423</v>
      </c>
    </row>
    <row r="17" spans="2:2" x14ac:dyDescent="0.25">
      <c r="B17" s="259" t="s">
        <v>1424</v>
      </c>
    </row>
    <row r="18" spans="2:2" x14ac:dyDescent="0.25">
      <c r="B18" s="259" t="s">
        <v>1425</v>
      </c>
    </row>
    <row r="19" spans="2:2" x14ac:dyDescent="0.25">
      <c r="B19" s="259"/>
    </row>
    <row r="20" spans="2:2" x14ac:dyDescent="0.25">
      <c r="B20" s="259"/>
    </row>
    <row r="21" spans="2:2" x14ac:dyDescent="0.25">
      <c r="B21" s="259"/>
    </row>
    <row r="23" spans="2:2" x14ac:dyDescent="0.25">
      <c r="B23" t="s">
        <v>1363</v>
      </c>
    </row>
    <row r="24" spans="2:2" x14ac:dyDescent="0.25">
      <c r="B24" t="s">
        <v>1364</v>
      </c>
    </row>
    <row r="25" spans="2:2" x14ac:dyDescent="0.25">
      <c r="B25" t="s">
        <v>1365</v>
      </c>
    </row>
    <row r="26" spans="2:2" x14ac:dyDescent="0.25">
      <c r="B26" t="s">
        <v>1366</v>
      </c>
    </row>
    <row r="27" spans="2:2" x14ac:dyDescent="0.25">
      <c r="B27" t="s">
        <v>1368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878B-0AEE-45B9-A0E7-154683290F9F}">
  <dimension ref="A1:V91"/>
  <sheetViews>
    <sheetView showGridLines="0" zoomScale="86" zoomScaleNormal="80" zoomScaleSheetLayoutView="85" workbookViewId="0">
      <selection activeCell="U33" sqref="U33"/>
    </sheetView>
  </sheetViews>
  <sheetFormatPr baseColWidth="10" defaultColWidth="11.42578125" defaultRowHeight="0" customHeight="1" zeroHeight="1" x14ac:dyDescent="0.25"/>
  <cols>
    <col min="1" max="1" width="7" style="115" customWidth="1"/>
    <col min="2" max="2" width="25.28515625" style="116" customWidth="1"/>
    <col min="3" max="3" width="41" style="117" customWidth="1"/>
    <col min="4" max="4" width="30" style="117" customWidth="1"/>
    <col min="5" max="5" width="31.85546875" style="114" customWidth="1"/>
    <col min="6" max="6" width="25.7109375" style="114" customWidth="1"/>
    <col min="7" max="8" width="23.42578125" style="114" customWidth="1"/>
    <col min="9" max="9" width="15.42578125" style="114" customWidth="1"/>
    <col min="10" max="21" width="13.5703125" style="98" customWidth="1"/>
    <col min="22" max="22" width="15" style="98" customWidth="1"/>
    <col min="23" max="16384" width="11.42578125" style="118"/>
  </cols>
  <sheetData>
    <row r="1" spans="1:22" s="226" customFormat="1" ht="36.75" customHeight="1" x14ac:dyDescent="0.25">
      <c r="A1" s="767" t="s">
        <v>352</v>
      </c>
      <c r="B1" s="768"/>
      <c r="C1" s="768"/>
      <c r="D1" s="768"/>
      <c r="E1" s="768"/>
      <c r="F1" s="768"/>
      <c r="G1" s="768"/>
      <c r="H1" s="769"/>
      <c r="I1" s="308"/>
      <c r="J1" s="91"/>
      <c r="K1" s="91"/>
      <c r="L1" s="91"/>
      <c r="M1" s="91"/>
      <c r="N1" s="91"/>
      <c r="O1" s="91"/>
      <c r="P1" s="91"/>
      <c r="Q1" s="91"/>
      <c r="R1" s="91"/>
      <c r="S1" s="91"/>
      <c r="T1" s="91"/>
      <c r="U1" s="91"/>
      <c r="V1" s="91"/>
    </row>
    <row r="2" spans="1:22" s="226" customFormat="1" ht="36.75" customHeight="1" thickBot="1" x14ac:dyDescent="0.3">
      <c r="A2" s="770"/>
      <c r="B2" s="771"/>
      <c r="C2" s="771"/>
      <c r="D2" s="771"/>
      <c r="E2" s="771"/>
      <c r="F2" s="771"/>
      <c r="G2" s="771"/>
      <c r="H2" s="772"/>
      <c r="I2" s="308"/>
      <c r="J2" s="91"/>
      <c r="K2" s="91"/>
      <c r="L2" s="91"/>
      <c r="M2" s="91"/>
      <c r="N2" s="91"/>
      <c r="O2" s="91"/>
      <c r="P2" s="91"/>
      <c r="Q2" s="91"/>
      <c r="R2" s="91"/>
      <c r="S2" s="91"/>
      <c r="T2" s="91"/>
      <c r="U2" s="91"/>
      <c r="V2" s="91"/>
    </row>
    <row r="3" spans="1:22" s="226" customFormat="1" ht="9.75" customHeight="1" thickBot="1" x14ac:dyDescent="0.3">
      <c r="A3" s="91"/>
      <c r="B3" s="92"/>
      <c r="C3" s="92"/>
      <c r="D3" s="92"/>
      <c r="E3" s="93"/>
      <c r="F3" s="93"/>
      <c r="G3" s="93"/>
      <c r="H3" s="93"/>
      <c r="I3" s="93"/>
      <c r="J3" s="91"/>
      <c r="K3" s="91"/>
      <c r="L3" s="91"/>
      <c r="M3" s="91"/>
      <c r="N3" s="91"/>
      <c r="O3" s="91"/>
      <c r="P3" s="91"/>
      <c r="Q3" s="91"/>
      <c r="R3" s="91"/>
      <c r="S3" s="91"/>
      <c r="T3" s="91"/>
      <c r="U3" s="91"/>
      <c r="V3" s="91"/>
    </row>
    <row r="4" spans="1:22" s="226" customFormat="1" ht="13.5" hidden="1" customHeight="1" thickBot="1" x14ac:dyDescent="0.3">
      <c r="A4" s="773" t="s">
        <v>353</v>
      </c>
      <c r="B4" s="774"/>
      <c r="C4" s="775"/>
      <c r="D4" s="776" t="s">
        <v>354</v>
      </c>
      <c r="E4" s="776"/>
      <c r="F4" s="776"/>
      <c r="G4" s="776"/>
      <c r="H4" s="776"/>
      <c r="I4" s="309"/>
      <c r="J4" s="91"/>
      <c r="K4" s="91"/>
      <c r="L4" s="91"/>
      <c r="M4" s="91"/>
      <c r="N4" s="91"/>
      <c r="O4" s="91"/>
      <c r="P4" s="91"/>
      <c r="Q4" s="91"/>
      <c r="R4" s="91"/>
      <c r="S4" s="91"/>
      <c r="T4" s="91"/>
      <c r="U4" s="91"/>
      <c r="V4" s="91"/>
    </row>
    <row r="5" spans="1:22" s="226" customFormat="1" ht="30" customHeight="1" x14ac:dyDescent="0.25">
      <c r="A5" s="777" t="s">
        <v>355</v>
      </c>
      <c r="B5" s="778"/>
      <c r="C5" s="779" t="s">
        <v>711</v>
      </c>
      <c r="D5" s="779"/>
      <c r="E5" s="779"/>
      <c r="F5" s="779"/>
      <c r="G5" s="779"/>
      <c r="H5" s="780"/>
      <c r="I5" s="310"/>
      <c r="J5" s="91"/>
      <c r="K5" s="91"/>
      <c r="L5" s="91"/>
      <c r="M5" s="91"/>
      <c r="N5" s="91"/>
      <c r="O5" s="91"/>
      <c r="P5" s="91"/>
      <c r="Q5" s="91"/>
      <c r="R5" s="91"/>
      <c r="S5" s="91"/>
      <c r="T5" s="91"/>
      <c r="U5" s="91"/>
      <c r="V5" s="91"/>
    </row>
    <row r="6" spans="1:22" s="226" customFormat="1" ht="22.5" customHeight="1" thickBot="1" x14ac:dyDescent="0.3">
      <c r="A6" s="763" t="s">
        <v>356</v>
      </c>
      <c r="B6" s="764"/>
      <c r="C6" s="765">
        <v>44256</v>
      </c>
      <c r="D6" s="765"/>
      <c r="E6" s="765"/>
      <c r="F6" s="765"/>
      <c r="G6" s="765"/>
      <c r="H6" s="766"/>
      <c r="I6" s="310"/>
      <c r="J6" s="91"/>
      <c r="K6" s="91"/>
      <c r="L6" s="91"/>
      <c r="M6" s="91"/>
      <c r="N6" s="91"/>
      <c r="O6" s="91"/>
      <c r="P6" s="91"/>
      <c r="Q6" s="91"/>
      <c r="R6" s="91"/>
      <c r="S6" s="91"/>
      <c r="T6" s="91"/>
      <c r="U6" s="91"/>
      <c r="V6" s="91"/>
    </row>
    <row r="7" spans="1:22" ht="8.25" customHeight="1" thickBot="1" x14ac:dyDescent="0.3">
      <c r="A7" s="94"/>
      <c r="B7" s="95"/>
      <c r="C7" s="96"/>
      <c r="D7" s="96"/>
      <c r="E7" s="97"/>
      <c r="F7" s="97"/>
      <c r="G7" s="97"/>
      <c r="H7" s="97"/>
      <c r="I7" s="97"/>
    </row>
    <row r="8" spans="1:22" ht="18" customHeight="1" thickBot="1" x14ac:dyDescent="0.3">
      <c r="A8" s="781" t="s">
        <v>357</v>
      </c>
      <c r="B8" s="782"/>
      <c r="C8" s="782"/>
      <c r="D8" s="782"/>
      <c r="E8" s="782"/>
      <c r="F8" s="782"/>
      <c r="G8" s="782"/>
      <c r="H8" s="783"/>
      <c r="I8" s="473"/>
      <c r="J8" s="784" t="s">
        <v>712</v>
      </c>
      <c r="K8" s="785"/>
      <c r="L8" s="785"/>
      <c r="M8" s="785"/>
      <c r="N8" s="785"/>
      <c r="O8" s="785"/>
      <c r="P8" s="785"/>
      <c r="Q8" s="785"/>
      <c r="R8" s="785"/>
      <c r="S8" s="785"/>
      <c r="T8" s="785"/>
      <c r="U8" s="786"/>
      <c r="V8" s="787" t="s">
        <v>713</v>
      </c>
    </row>
    <row r="9" spans="1:22" ht="18" customHeight="1" x14ac:dyDescent="0.25">
      <c r="A9" s="789" t="s">
        <v>358</v>
      </c>
      <c r="B9" s="791" t="s">
        <v>359</v>
      </c>
      <c r="C9" s="791" t="s">
        <v>360</v>
      </c>
      <c r="D9" s="791" t="s">
        <v>361</v>
      </c>
      <c r="E9" s="791" t="s">
        <v>362</v>
      </c>
      <c r="F9" s="793" t="s">
        <v>363</v>
      </c>
      <c r="G9" s="795" t="s">
        <v>364</v>
      </c>
      <c r="H9" s="796"/>
      <c r="I9" s="583" t="s">
        <v>365</v>
      </c>
      <c r="J9" s="311" t="s">
        <v>714</v>
      </c>
      <c r="K9" s="312" t="s">
        <v>715</v>
      </c>
      <c r="L9" s="312" t="s">
        <v>716</v>
      </c>
      <c r="M9" s="312" t="s">
        <v>717</v>
      </c>
      <c r="N9" s="312" t="s">
        <v>718</v>
      </c>
      <c r="O9" s="312" t="s">
        <v>719</v>
      </c>
      <c r="P9" s="312" t="s">
        <v>720</v>
      </c>
      <c r="Q9" s="312" t="s">
        <v>721</v>
      </c>
      <c r="R9" s="312" t="s">
        <v>722</v>
      </c>
      <c r="S9" s="312" t="s">
        <v>723</v>
      </c>
      <c r="T9" s="312" t="s">
        <v>724</v>
      </c>
      <c r="U9" s="313" t="s">
        <v>725</v>
      </c>
      <c r="V9" s="788"/>
    </row>
    <row r="10" spans="1:22" ht="16.5" customHeight="1" thickBot="1" x14ac:dyDescent="0.3">
      <c r="A10" s="790"/>
      <c r="B10" s="792"/>
      <c r="C10" s="792"/>
      <c r="D10" s="792"/>
      <c r="E10" s="792"/>
      <c r="F10" s="794"/>
      <c r="G10" s="314" t="s">
        <v>366</v>
      </c>
      <c r="H10" s="315" t="s">
        <v>367</v>
      </c>
      <c r="I10" s="474">
        <f t="shared" ref="I10:J10" si="0">I11+I12+I13+I20+I26+I37+I40+I45+I49</f>
        <v>0.99999999999999989</v>
      </c>
      <c r="J10" s="316">
        <f t="shared" si="0"/>
        <v>8.3333333333333332E-3</v>
      </c>
      <c r="K10" s="317">
        <f>K11+K12+K13+K20+K26+K37+K40+K45+K49</f>
        <v>4.1053333333333324E-2</v>
      </c>
      <c r="L10" s="317">
        <f t="shared" ref="L10:U10" si="1">L11+L12+L13+L20+L26+L37+L40+L45+L49</f>
        <v>0.13156333333333331</v>
      </c>
      <c r="M10" s="317">
        <f t="shared" si="1"/>
        <v>0.11252333333333332</v>
      </c>
      <c r="N10" s="317">
        <f t="shared" si="1"/>
        <v>0.11873333333333333</v>
      </c>
      <c r="O10" s="317">
        <f t="shared" si="1"/>
        <v>0.14541333333333334</v>
      </c>
      <c r="P10" s="317">
        <f t="shared" si="1"/>
        <v>9.5932666666666638E-2</v>
      </c>
      <c r="Q10" s="317">
        <f t="shared" si="1"/>
        <v>0.11893266666666666</v>
      </c>
      <c r="R10" s="317">
        <f t="shared" si="1"/>
        <v>7.7992666666666655E-2</v>
      </c>
      <c r="S10" s="317">
        <f t="shared" si="1"/>
        <v>5.9806566666666658E-2</v>
      </c>
      <c r="T10" s="317">
        <f t="shared" si="1"/>
        <v>4.1407333333333338E-2</v>
      </c>
      <c r="U10" s="318">
        <f t="shared" si="1"/>
        <v>4.8307333333333334E-2</v>
      </c>
      <c r="V10" s="319">
        <f t="shared" ref="V10:V55" si="2">J10+K10+L10+M10+N10+O10+P10+Q10+R10+S10+T10+U10</f>
        <v>0.9999992333333334</v>
      </c>
    </row>
    <row r="11" spans="1:22" ht="65.25" customHeight="1" x14ac:dyDescent="0.25">
      <c r="A11" s="865">
        <v>1</v>
      </c>
      <c r="B11" s="475" t="s">
        <v>368</v>
      </c>
      <c r="C11" s="475" t="s">
        <v>369</v>
      </c>
      <c r="D11" s="475" t="s">
        <v>370</v>
      </c>
      <c r="E11" s="476" t="s">
        <v>371</v>
      </c>
      <c r="F11" s="477">
        <v>1</v>
      </c>
      <c r="G11" s="478">
        <v>44228</v>
      </c>
      <c r="H11" s="479">
        <v>44286</v>
      </c>
      <c r="I11" s="480">
        <v>7.1999999999999995E-2</v>
      </c>
      <c r="J11" s="866">
        <f>'[2]Reporte mensual'!J12</f>
        <v>0</v>
      </c>
      <c r="K11" s="867">
        <f>'[2]Reporte mensual'!M12</f>
        <v>1.7999999999999999E-2</v>
      </c>
      <c r="L11" s="867">
        <f>'[2]Reporte mensual'!P12</f>
        <v>5.3999999999999992E-2</v>
      </c>
      <c r="M11" s="867">
        <f>'[2]Reporte mensual'!S12</f>
        <v>0</v>
      </c>
      <c r="N11" s="867">
        <f>'[2]Reporte mensual'!V12</f>
        <v>0</v>
      </c>
      <c r="O11" s="867">
        <f>'[2]Reporte mensual'!Y12</f>
        <v>0</v>
      </c>
      <c r="P11" s="867">
        <f>'[2]Reporte mensual'!AB12</f>
        <v>0</v>
      </c>
      <c r="Q11" s="867">
        <f>'[2]Reporte mensual'!AE12</f>
        <v>0</v>
      </c>
      <c r="R11" s="867">
        <f>'[2]Reporte mensual'!AH12</f>
        <v>0</v>
      </c>
      <c r="S11" s="867">
        <f>'[2]Reporte mensual'!AK12</f>
        <v>0</v>
      </c>
      <c r="T11" s="867">
        <f>'[2]Reporte mensual'!AN12</f>
        <v>0</v>
      </c>
      <c r="U11" s="868">
        <f>'[2]Reporte mensual'!AQ12</f>
        <v>0</v>
      </c>
      <c r="V11" s="869">
        <f t="shared" si="2"/>
        <v>7.1999999999999995E-2</v>
      </c>
    </row>
    <row r="12" spans="1:22" ht="69" customHeight="1" x14ac:dyDescent="0.25">
      <c r="A12" s="481">
        <v>2</v>
      </c>
      <c r="B12" s="482" t="s">
        <v>368</v>
      </c>
      <c r="C12" s="482" t="s">
        <v>372</v>
      </c>
      <c r="D12" s="482" t="s">
        <v>370</v>
      </c>
      <c r="E12" s="483" t="s">
        <v>373</v>
      </c>
      <c r="F12" s="484">
        <v>1</v>
      </c>
      <c r="G12" s="485">
        <v>44228</v>
      </c>
      <c r="H12" s="486">
        <v>44561</v>
      </c>
      <c r="I12" s="487">
        <v>0.1</v>
      </c>
      <c r="J12" s="870">
        <f>'[2]Reporte mensual'!J13</f>
        <v>8.3333333333333332E-3</v>
      </c>
      <c r="K12" s="871">
        <f>'[2]Reporte mensual'!M13</f>
        <v>8.3333333333333332E-3</v>
      </c>
      <c r="L12" s="871">
        <f>'[2]Reporte mensual'!P13</f>
        <v>8.3333333333333332E-3</v>
      </c>
      <c r="M12" s="871">
        <f>'[2]Reporte mensual'!S13</f>
        <v>8.3333333333333332E-3</v>
      </c>
      <c r="N12" s="871">
        <f>'[2]Reporte mensual'!V13</f>
        <v>8.3333333333333332E-3</v>
      </c>
      <c r="O12" s="871">
        <f>'[2]Reporte mensual'!Y13</f>
        <v>8.3333333333333332E-3</v>
      </c>
      <c r="P12" s="871">
        <f>'[2]Reporte mensual'!AB13</f>
        <v>8.3333333333333332E-3</v>
      </c>
      <c r="Q12" s="871">
        <f>'[2]Reporte mensual'!AE13</f>
        <v>8.3333333333333332E-3</v>
      </c>
      <c r="R12" s="871">
        <f>'[2]Reporte mensual'!AH13</f>
        <v>8.3333333333333332E-3</v>
      </c>
      <c r="S12" s="871">
        <f>'[2]Reporte mensual'!AK13</f>
        <v>8.3333333333333332E-3</v>
      </c>
      <c r="T12" s="871">
        <f>'[2]Reporte mensual'!AN13</f>
        <v>8.3333333333333332E-3</v>
      </c>
      <c r="U12" s="872">
        <f>'[2]Reporte mensual'!AQ13</f>
        <v>8.3333333333333332E-3</v>
      </c>
      <c r="V12" s="488">
        <f t="shared" si="2"/>
        <v>9.9999999999999992E-2</v>
      </c>
    </row>
    <row r="13" spans="1:22" ht="61.5" customHeight="1" x14ac:dyDescent="0.25">
      <c r="A13" s="244">
        <v>3</v>
      </c>
      <c r="B13" s="797" t="s">
        <v>374</v>
      </c>
      <c r="C13" s="797"/>
      <c r="D13" s="246" t="s">
        <v>375</v>
      </c>
      <c r="E13" s="245" t="s">
        <v>376</v>
      </c>
      <c r="F13" s="320">
        <v>1</v>
      </c>
      <c r="G13" s="321">
        <v>44228</v>
      </c>
      <c r="H13" s="322">
        <v>44561</v>
      </c>
      <c r="I13" s="489">
        <f>SUM(I14:I19)</f>
        <v>0.13799999999999998</v>
      </c>
      <c r="J13" s="873">
        <f>'[2]Reporte mensual'!J14</f>
        <v>0</v>
      </c>
      <c r="K13" s="874">
        <f>'[2]Reporte mensual'!M14</f>
        <v>5.5199999999999997E-3</v>
      </c>
      <c r="L13" s="874">
        <f>'[2]Reporte mensual'!P14</f>
        <v>1.3799999999999998E-2</v>
      </c>
      <c r="M13" s="874">
        <f>'[2]Reporte mensual'!S14</f>
        <v>3.9559999999999998E-2</v>
      </c>
      <c r="N13" s="874">
        <f>'[2]Reporte mensual'!V14</f>
        <v>2.2540000000000001E-2</v>
      </c>
      <c r="O13" s="874">
        <f>'[2]Reporte mensual'!Y14</f>
        <v>2.6679999999999999E-2</v>
      </c>
      <c r="P13" s="874">
        <f>'[2]Reporte mensual'!AB14</f>
        <v>1.1039999999999999E-2</v>
      </c>
      <c r="Q13" s="874">
        <f>'[2]Reporte mensual'!AE14</f>
        <v>1.1039999999999999E-2</v>
      </c>
      <c r="R13" s="874">
        <f>'[2]Reporte mensual'!AH14</f>
        <v>2.2999999999999995E-3</v>
      </c>
      <c r="S13" s="874">
        <f>'[2]Reporte mensual'!AK14</f>
        <v>2.2999999999999995E-3</v>
      </c>
      <c r="T13" s="874">
        <f>'[2]Reporte mensual'!AN14</f>
        <v>2.2999999999999995E-3</v>
      </c>
      <c r="U13" s="875">
        <f>'[2]Reporte mensual'!AQ14</f>
        <v>9.1999999999999992E-4</v>
      </c>
      <c r="V13" s="323">
        <f t="shared" si="2"/>
        <v>0.13799999999999998</v>
      </c>
    </row>
    <row r="14" spans="1:22" ht="54" customHeight="1" x14ac:dyDescent="0.25">
      <c r="A14" s="99" t="s">
        <v>377</v>
      </c>
      <c r="B14" s="100" t="s">
        <v>378</v>
      </c>
      <c r="C14" s="100" t="s">
        <v>379</v>
      </c>
      <c r="D14" s="101" t="s">
        <v>380</v>
      </c>
      <c r="E14" s="102" t="s">
        <v>726</v>
      </c>
      <c r="F14" s="324">
        <v>1</v>
      </c>
      <c r="G14" s="325">
        <v>44228</v>
      </c>
      <c r="H14" s="326">
        <v>44561</v>
      </c>
      <c r="I14" s="490">
        <v>2.3E-2</v>
      </c>
      <c r="J14" s="876">
        <f>'[2]Reporte mensual'!J15</f>
        <v>0</v>
      </c>
      <c r="K14" s="877">
        <f>'[2]Reporte mensual'!M15</f>
        <v>0.04</v>
      </c>
      <c r="L14" s="877">
        <f>'[2]Reporte mensual'!P15</f>
        <v>0.1</v>
      </c>
      <c r="M14" s="877">
        <f>'[2]Reporte mensual'!S15</f>
        <v>0.1</v>
      </c>
      <c r="N14" s="877">
        <f>'[2]Reporte mensual'!V15</f>
        <v>0.19</v>
      </c>
      <c r="O14" s="877">
        <f>'[2]Reporte mensual'!Y15</f>
        <v>0.19</v>
      </c>
      <c r="P14" s="877">
        <f>'[2]Reporte mensual'!AB15</f>
        <v>0.19</v>
      </c>
      <c r="Q14" s="877">
        <f>'[2]Reporte mensual'!AE15</f>
        <v>0.19</v>
      </c>
      <c r="R14" s="877">
        <f>'[2]Reporte mensual'!AH15</f>
        <v>0</v>
      </c>
      <c r="S14" s="877">
        <f>'[2]Reporte mensual'!AK15</f>
        <v>0</v>
      </c>
      <c r="T14" s="877">
        <f>'[2]Reporte mensual'!AN15</f>
        <v>0</v>
      </c>
      <c r="U14" s="878">
        <f>'[2]Reporte mensual'!AQ15</f>
        <v>0</v>
      </c>
      <c r="V14" s="327">
        <f t="shared" si="2"/>
        <v>1</v>
      </c>
    </row>
    <row r="15" spans="1:22" ht="84.75" customHeight="1" x14ac:dyDescent="0.25">
      <c r="A15" s="99" t="s">
        <v>381</v>
      </c>
      <c r="B15" s="100" t="s">
        <v>378</v>
      </c>
      <c r="C15" s="100" t="s">
        <v>382</v>
      </c>
      <c r="D15" s="101" t="s">
        <v>380</v>
      </c>
      <c r="E15" s="102" t="s">
        <v>383</v>
      </c>
      <c r="F15" s="324">
        <v>1</v>
      </c>
      <c r="G15" s="325">
        <v>44228</v>
      </c>
      <c r="H15" s="326">
        <v>44561</v>
      </c>
      <c r="I15" s="490">
        <v>2.3E-2</v>
      </c>
      <c r="J15" s="876">
        <f>'[2]Reporte mensual'!J16</f>
        <v>0</v>
      </c>
      <c r="K15" s="877">
        <f>'[2]Reporte mensual'!M16</f>
        <v>0.04</v>
      </c>
      <c r="L15" s="877">
        <f>'[2]Reporte mensual'!P16</f>
        <v>0.1</v>
      </c>
      <c r="M15" s="877">
        <f>'[2]Reporte mensual'!S16</f>
        <v>0.46</v>
      </c>
      <c r="N15" s="877">
        <f>'[2]Reporte mensual'!V16</f>
        <v>0.4</v>
      </c>
      <c r="O15" s="877">
        <f>'[2]Reporte mensual'!Y16</f>
        <v>0</v>
      </c>
      <c r="P15" s="877">
        <f>'[2]Reporte mensual'!AB16</f>
        <v>0</v>
      </c>
      <c r="Q15" s="877">
        <f>'[2]Reporte mensual'!AE16</f>
        <v>0</v>
      </c>
      <c r="R15" s="877">
        <f>'[2]Reporte mensual'!AH16</f>
        <v>0</v>
      </c>
      <c r="S15" s="877">
        <f>'[2]Reporte mensual'!AK16</f>
        <v>0</v>
      </c>
      <c r="T15" s="877">
        <f>'[2]Reporte mensual'!AN16</f>
        <v>0</v>
      </c>
      <c r="U15" s="878">
        <f>'[2]Reporte mensual'!AQ16</f>
        <v>0</v>
      </c>
      <c r="V15" s="327">
        <f t="shared" si="2"/>
        <v>1</v>
      </c>
    </row>
    <row r="16" spans="1:22" ht="107.25" customHeight="1" x14ac:dyDescent="0.25">
      <c r="A16" s="99" t="s">
        <v>384</v>
      </c>
      <c r="B16" s="100" t="s">
        <v>378</v>
      </c>
      <c r="C16" s="100" t="s">
        <v>727</v>
      </c>
      <c r="D16" s="101" t="s">
        <v>385</v>
      </c>
      <c r="E16" s="102" t="s">
        <v>386</v>
      </c>
      <c r="F16" s="324">
        <v>1</v>
      </c>
      <c r="G16" s="325">
        <v>44228</v>
      </c>
      <c r="H16" s="326">
        <v>44561</v>
      </c>
      <c r="I16" s="490">
        <v>2.3E-2</v>
      </c>
      <c r="J16" s="876">
        <f>'[2]Reporte mensual'!J17</f>
        <v>0</v>
      </c>
      <c r="K16" s="877">
        <f>'[2]Reporte mensual'!M17</f>
        <v>0.04</v>
      </c>
      <c r="L16" s="877">
        <f>'[2]Reporte mensual'!P17</f>
        <v>0.1</v>
      </c>
      <c r="M16" s="877">
        <f>'[2]Reporte mensual'!S17</f>
        <v>0.1</v>
      </c>
      <c r="N16" s="877">
        <f>'[2]Reporte mensual'!V17</f>
        <v>0.1</v>
      </c>
      <c r="O16" s="877">
        <f>'[2]Reporte mensual'!Y17</f>
        <v>0.66</v>
      </c>
      <c r="P16" s="877">
        <f>'[2]Reporte mensual'!AB17</f>
        <v>0</v>
      </c>
      <c r="Q16" s="877">
        <f>'[2]Reporte mensual'!AE17</f>
        <v>0</v>
      </c>
      <c r="R16" s="877">
        <f>'[2]Reporte mensual'!AH17</f>
        <v>0</v>
      </c>
      <c r="S16" s="877">
        <f>'[2]Reporte mensual'!AK17</f>
        <v>0</v>
      </c>
      <c r="T16" s="877">
        <f>'[2]Reporte mensual'!AN17</f>
        <v>0</v>
      </c>
      <c r="U16" s="878">
        <f>'[2]Reporte mensual'!AQ17</f>
        <v>0</v>
      </c>
      <c r="V16" s="327">
        <f t="shared" si="2"/>
        <v>1</v>
      </c>
    </row>
    <row r="17" spans="1:22" ht="70.5" customHeight="1" x14ac:dyDescent="0.25">
      <c r="A17" s="99" t="s">
        <v>387</v>
      </c>
      <c r="B17" s="100" t="s">
        <v>388</v>
      </c>
      <c r="C17" s="100" t="s">
        <v>728</v>
      </c>
      <c r="D17" s="101" t="s">
        <v>380</v>
      </c>
      <c r="E17" s="102" t="s">
        <v>729</v>
      </c>
      <c r="F17" s="324">
        <v>1</v>
      </c>
      <c r="G17" s="325">
        <v>44228</v>
      </c>
      <c r="H17" s="326">
        <v>44561</v>
      </c>
      <c r="I17" s="490">
        <v>2.3E-2</v>
      </c>
      <c r="J17" s="876">
        <f>'[2]Reporte mensual'!J18</f>
        <v>0</v>
      </c>
      <c r="K17" s="877">
        <f>'[2]Reporte mensual'!M18</f>
        <v>0.04</v>
      </c>
      <c r="L17" s="877">
        <f>'[2]Reporte mensual'!P18</f>
        <v>0.1</v>
      </c>
      <c r="M17" s="877">
        <f>'[2]Reporte mensual'!S18</f>
        <v>0.86</v>
      </c>
      <c r="N17" s="877">
        <f>'[2]Reporte mensual'!V18</f>
        <v>0</v>
      </c>
      <c r="O17" s="877">
        <f>'[2]Reporte mensual'!Y18</f>
        <v>0</v>
      </c>
      <c r="P17" s="877">
        <f>'[2]Reporte mensual'!AB18</f>
        <v>0</v>
      </c>
      <c r="Q17" s="877">
        <f>'[2]Reporte mensual'!AE18</f>
        <v>0</v>
      </c>
      <c r="R17" s="877">
        <f>'[2]Reporte mensual'!AH18</f>
        <v>0</v>
      </c>
      <c r="S17" s="877">
        <f>'[2]Reporte mensual'!AK18</f>
        <v>0</v>
      </c>
      <c r="T17" s="877">
        <f>'[2]Reporte mensual'!AN18</f>
        <v>0</v>
      </c>
      <c r="U17" s="878">
        <f>'[2]Reporte mensual'!AQ18</f>
        <v>0</v>
      </c>
      <c r="V17" s="327">
        <f t="shared" si="2"/>
        <v>1</v>
      </c>
    </row>
    <row r="18" spans="1:22" ht="110.25" customHeight="1" x14ac:dyDescent="0.25">
      <c r="A18" s="99" t="s">
        <v>389</v>
      </c>
      <c r="B18" s="100" t="s">
        <v>388</v>
      </c>
      <c r="C18" s="100" t="s">
        <v>730</v>
      </c>
      <c r="D18" s="101" t="s">
        <v>380</v>
      </c>
      <c r="E18" s="102" t="s">
        <v>731</v>
      </c>
      <c r="F18" s="324">
        <v>1</v>
      </c>
      <c r="G18" s="325">
        <v>44228</v>
      </c>
      <c r="H18" s="326">
        <v>44286</v>
      </c>
      <c r="I18" s="490">
        <v>2.3E-2</v>
      </c>
      <c r="J18" s="876">
        <f>'[2]Reporte mensual'!J19</f>
        <v>0</v>
      </c>
      <c r="K18" s="877">
        <f>'[2]Reporte mensual'!M19</f>
        <v>0.04</v>
      </c>
      <c r="L18" s="877">
        <f>'[2]Reporte mensual'!P19</f>
        <v>0.1</v>
      </c>
      <c r="M18" s="877">
        <f>'[2]Reporte mensual'!S19</f>
        <v>0.1</v>
      </c>
      <c r="N18" s="877">
        <f>'[2]Reporte mensual'!V19</f>
        <v>0.19</v>
      </c>
      <c r="O18" s="877">
        <f>'[2]Reporte mensual'!Y19</f>
        <v>0.19</v>
      </c>
      <c r="P18" s="877">
        <f>'[2]Reporte mensual'!AB19</f>
        <v>0.19</v>
      </c>
      <c r="Q18" s="877">
        <f>'[2]Reporte mensual'!AE19</f>
        <v>0.19</v>
      </c>
      <c r="R18" s="877">
        <f>'[2]Reporte mensual'!AH19</f>
        <v>0</v>
      </c>
      <c r="S18" s="877">
        <f>'[2]Reporte mensual'!AK19</f>
        <v>0</v>
      </c>
      <c r="T18" s="877">
        <f>'[2]Reporte mensual'!AN19</f>
        <v>0</v>
      </c>
      <c r="U18" s="878">
        <f>'[2]Reporte mensual'!AQ19</f>
        <v>0</v>
      </c>
      <c r="V18" s="327">
        <f t="shared" si="2"/>
        <v>1</v>
      </c>
    </row>
    <row r="19" spans="1:22" ht="65.25" customHeight="1" x14ac:dyDescent="0.25">
      <c r="A19" s="99" t="s">
        <v>390</v>
      </c>
      <c r="B19" s="100" t="s">
        <v>388</v>
      </c>
      <c r="C19" s="100" t="s">
        <v>732</v>
      </c>
      <c r="D19" s="101" t="s">
        <v>380</v>
      </c>
      <c r="E19" s="102" t="s">
        <v>547</v>
      </c>
      <c r="F19" s="324">
        <v>1</v>
      </c>
      <c r="G19" s="325">
        <v>44228</v>
      </c>
      <c r="H19" s="326">
        <v>44561</v>
      </c>
      <c r="I19" s="490">
        <v>2.3E-2</v>
      </c>
      <c r="J19" s="876">
        <f>'[2]Reporte mensual'!J20</f>
        <v>0</v>
      </c>
      <c r="K19" s="877">
        <f>'[2]Reporte mensual'!M20</f>
        <v>0.04</v>
      </c>
      <c r="L19" s="877">
        <f>'[2]Reporte mensual'!P20</f>
        <v>0.1</v>
      </c>
      <c r="M19" s="877">
        <f>'[2]Reporte mensual'!S20</f>
        <v>0.1</v>
      </c>
      <c r="N19" s="877">
        <f>'[2]Reporte mensual'!V20</f>
        <v>0.1</v>
      </c>
      <c r="O19" s="877">
        <f>'[2]Reporte mensual'!Y20</f>
        <v>0.12</v>
      </c>
      <c r="P19" s="877">
        <f>'[2]Reporte mensual'!AB20</f>
        <v>0.1</v>
      </c>
      <c r="Q19" s="877">
        <f>'[2]Reporte mensual'!AE20</f>
        <v>0.1</v>
      </c>
      <c r="R19" s="877">
        <f>'[2]Reporte mensual'!AH20</f>
        <v>0.1</v>
      </c>
      <c r="S19" s="877">
        <f>'[2]Reporte mensual'!AK20</f>
        <v>0.1</v>
      </c>
      <c r="T19" s="877">
        <f>'[2]Reporte mensual'!AN20</f>
        <v>0.1</v>
      </c>
      <c r="U19" s="878">
        <f>'[2]Reporte mensual'!AQ20</f>
        <v>0.04</v>
      </c>
      <c r="V19" s="327">
        <f t="shared" si="2"/>
        <v>1</v>
      </c>
    </row>
    <row r="20" spans="1:22" s="328" customFormat="1" ht="51.75" customHeight="1" x14ac:dyDescent="0.25">
      <c r="A20" s="244">
        <v>4</v>
      </c>
      <c r="B20" s="797" t="s">
        <v>391</v>
      </c>
      <c r="C20" s="797"/>
      <c r="D20" s="246" t="s">
        <v>375</v>
      </c>
      <c r="E20" s="245" t="s">
        <v>376</v>
      </c>
      <c r="F20" s="320">
        <v>1</v>
      </c>
      <c r="G20" s="321">
        <v>44228</v>
      </c>
      <c r="H20" s="322">
        <v>44561</v>
      </c>
      <c r="I20" s="489">
        <f>SUM(I21:I25)</f>
        <v>0.11499999999999999</v>
      </c>
      <c r="J20" s="873">
        <f>'[2]Reporte mensual'!J21</f>
        <v>0</v>
      </c>
      <c r="K20" s="874">
        <f>'[2]Reporte mensual'!M21</f>
        <v>5.7499999999999999E-3</v>
      </c>
      <c r="L20" s="874">
        <f>'[2]Reporte mensual'!P21</f>
        <v>1.0349999999999998E-2</v>
      </c>
      <c r="M20" s="874">
        <f>'[2]Reporte mensual'!S21</f>
        <v>1.6099999999999996E-2</v>
      </c>
      <c r="N20" s="874">
        <f>'[2]Reporte mensual'!V21</f>
        <v>1.6099999999999996E-2</v>
      </c>
      <c r="O20" s="874">
        <f>'[2]Reporte mensual'!Y21</f>
        <v>1.3799999999999998E-2</v>
      </c>
      <c r="P20" s="874">
        <f>'[2]Reporte mensual'!AB21</f>
        <v>1.0733333333333333E-2</v>
      </c>
      <c r="Q20" s="874">
        <f>'[2]Reporte mensual'!AE21</f>
        <v>1.7633333333333331E-2</v>
      </c>
      <c r="R20" s="874">
        <f>'[2]Reporte mensual'!AH21</f>
        <v>6.1333333333333327E-3</v>
      </c>
      <c r="S20" s="874">
        <f>'[2]Reporte mensual'!AK21</f>
        <v>1.1499233333333332E-2</v>
      </c>
      <c r="T20" s="874">
        <f>'[2]Reporte mensual'!AN21</f>
        <v>3.4500000000000004E-3</v>
      </c>
      <c r="U20" s="875">
        <f>'[2]Reporte mensual'!AQ21</f>
        <v>3.4500000000000004E-3</v>
      </c>
      <c r="V20" s="323">
        <f t="shared" si="2"/>
        <v>0.11499923333333331</v>
      </c>
    </row>
    <row r="21" spans="1:22" ht="117" customHeight="1" x14ac:dyDescent="0.25">
      <c r="A21" s="99" t="s">
        <v>392</v>
      </c>
      <c r="B21" s="100" t="s">
        <v>393</v>
      </c>
      <c r="C21" s="100" t="s">
        <v>548</v>
      </c>
      <c r="D21" s="100" t="s">
        <v>370</v>
      </c>
      <c r="E21" s="102" t="s">
        <v>394</v>
      </c>
      <c r="F21" s="324">
        <v>1</v>
      </c>
      <c r="G21" s="325">
        <v>44228</v>
      </c>
      <c r="H21" s="326">
        <v>44469</v>
      </c>
      <c r="I21" s="490">
        <v>2.3E-2</v>
      </c>
      <c r="J21" s="876">
        <f>'[2]Reporte mensual'!J22</f>
        <v>0</v>
      </c>
      <c r="K21" s="877">
        <f>'[2]Reporte mensual'!M22</f>
        <v>0.2</v>
      </c>
      <c r="L21" s="877">
        <f>'[2]Reporte mensual'!P22</f>
        <v>0.2</v>
      </c>
      <c r="M21" s="877">
        <f>'[2]Reporte mensual'!S22</f>
        <v>0.2</v>
      </c>
      <c r="N21" s="877">
        <f>'[2]Reporte mensual'!V22</f>
        <v>0.2</v>
      </c>
      <c r="O21" s="877">
        <f>'[2]Reporte mensual'!Y22</f>
        <v>0.2</v>
      </c>
      <c r="P21" s="877">
        <f>'[2]Reporte mensual'!AB22</f>
        <v>0</v>
      </c>
      <c r="Q21" s="877">
        <f>'[2]Reporte mensual'!AE22</f>
        <v>0</v>
      </c>
      <c r="R21" s="877">
        <f>'[2]Reporte mensual'!AH22</f>
        <v>0</v>
      </c>
      <c r="S21" s="877">
        <f>'[2]Reporte mensual'!AK22</f>
        <v>0</v>
      </c>
      <c r="T21" s="877">
        <f>'[2]Reporte mensual'!AN22</f>
        <v>0</v>
      </c>
      <c r="U21" s="878">
        <f>'[2]Reporte mensual'!AQ22</f>
        <v>0</v>
      </c>
      <c r="V21" s="327">
        <f t="shared" si="2"/>
        <v>1</v>
      </c>
    </row>
    <row r="22" spans="1:22" ht="61.5" customHeight="1" x14ac:dyDescent="0.25">
      <c r="A22" s="99" t="s">
        <v>395</v>
      </c>
      <c r="B22" s="100" t="s">
        <v>393</v>
      </c>
      <c r="C22" s="100" t="s">
        <v>396</v>
      </c>
      <c r="D22" s="101" t="s">
        <v>397</v>
      </c>
      <c r="E22" s="102" t="s">
        <v>398</v>
      </c>
      <c r="F22" s="324">
        <v>1</v>
      </c>
      <c r="G22" s="325">
        <v>44228</v>
      </c>
      <c r="H22" s="326">
        <v>44377</v>
      </c>
      <c r="I22" s="490">
        <v>2.3E-2</v>
      </c>
      <c r="J22" s="876">
        <f>'[2]Reporte mensual'!J23</f>
        <v>0</v>
      </c>
      <c r="K22" s="877">
        <f>'[2]Reporte mensual'!M23</f>
        <v>0</v>
      </c>
      <c r="L22" s="877">
        <f>'[2]Reporte mensual'!P23</f>
        <v>0.1</v>
      </c>
      <c r="M22" s="877">
        <f>'[2]Reporte mensual'!S23</f>
        <v>0.3</v>
      </c>
      <c r="N22" s="877">
        <f>'[2]Reporte mensual'!V23</f>
        <v>0.3</v>
      </c>
      <c r="O22" s="877">
        <f>'[2]Reporte mensual'!Y23</f>
        <v>0.2</v>
      </c>
      <c r="P22" s="877">
        <f>'[2]Reporte mensual'!AB23</f>
        <v>0.1</v>
      </c>
      <c r="Q22" s="877">
        <f>'[2]Reporte mensual'!AE23</f>
        <v>0</v>
      </c>
      <c r="R22" s="877">
        <f>'[2]Reporte mensual'!AH23</f>
        <v>0</v>
      </c>
      <c r="S22" s="877">
        <f>'[2]Reporte mensual'!AK23</f>
        <v>0</v>
      </c>
      <c r="T22" s="877">
        <f>'[2]Reporte mensual'!AN23</f>
        <v>0</v>
      </c>
      <c r="U22" s="878">
        <f>'[2]Reporte mensual'!AQ23</f>
        <v>0</v>
      </c>
      <c r="V22" s="327">
        <f t="shared" si="2"/>
        <v>0.99999999999999989</v>
      </c>
    </row>
    <row r="23" spans="1:22" ht="61.5" customHeight="1" x14ac:dyDescent="0.25">
      <c r="A23" s="99" t="s">
        <v>399</v>
      </c>
      <c r="B23" s="100" t="s">
        <v>393</v>
      </c>
      <c r="C23" s="100" t="s">
        <v>400</v>
      </c>
      <c r="D23" s="101" t="s">
        <v>401</v>
      </c>
      <c r="E23" s="102" t="s">
        <v>402</v>
      </c>
      <c r="F23" s="324">
        <v>1</v>
      </c>
      <c r="G23" s="325">
        <v>44228</v>
      </c>
      <c r="H23" s="326">
        <v>44561</v>
      </c>
      <c r="I23" s="490">
        <v>2.3E-2</v>
      </c>
      <c r="J23" s="876">
        <f>'[2]Reporte mensual'!J24</f>
        <v>0</v>
      </c>
      <c r="K23" s="877">
        <f>'[2]Reporte mensual'!M24</f>
        <v>0</v>
      </c>
      <c r="L23" s="877">
        <f>'[2]Reporte mensual'!P24</f>
        <v>0.1</v>
      </c>
      <c r="M23" s="877">
        <f>'[2]Reporte mensual'!S24</f>
        <v>0.1</v>
      </c>
      <c r="N23" s="877">
        <f>'[2]Reporte mensual'!V24</f>
        <v>0.1</v>
      </c>
      <c r="O23" s="877">
        <f>'[2]Reporte mensual'!Y24</f>
        <v>0.1</v>
      </c>
      <c r="P23" s="877">
        <f>'[2]Reporte mensual'!AB24</f>
        <v>0.1</v>
      </c>
      <c r="Q23" s="877">
        <f>'[2]Reporte mensual'!AE24</f>
        <v>0.5</v>
      </c>
      <c r="R23" s="877">
        <f>'[2]Reporte mensual'!AH24</f>
        <v>0</v>
      </c>
      <c r="S23" s="877">
        <f>'[2]Reporte mensual'!AK24</f>
        <v>0</v>
      </c>
      <c r="T23" s="877">
        <f>'[2]Reporte mensual'!AN24</f>
        <v>0</v>
      </c>
      <c r="U23" s="878">
        <f>'[2]Reporte mensual'!AQ24</f>
        <v>0</v>
      </c>
      <c r="V23" s="327">
        <f t="shared" si="2"/>
        <v>1</v>
      </c>
    </row>
    <row r="24" spans="1:22" ht="155.25" customHeight="1" x14ac:dyDescent="0.25">
      <c r="A24" s="99" t="s">
        <v>733</v>
      </c>
      <c r="B24" s="100" t="s">
        <v>393</v>
      </c>
      <c r="C24" s="100" t="s">
        <v>450</v>
      </c>
      <c r="D24" s="100" t="s">
        <v>370</v>
      </c>
      <c r="E24" s="102" t="s">
        <v>451</v>
      </c>
      <c r="F24" s="324">
        <v>1</v>
      </c>
      <c r="G24" s="325">
        <v>44228</v>
      </c>
      <c r="H24" s="326">
        <v>44561</v>
      </c>
      <c r="I24" s="490">
        <v>2.3E-2</v>
      </c>
      <c r="J24" s="876">
        <f>'[2]Reporte mensual'!J25</f>
        <v>0</v>
      </c>
      <c r="K24" s="877">
        <f>'[2]Reporte mensual'!M25</f>
        <v>0</v>
      </c>
      <c r="L24" s="877">
        <f>'[2]Reporte mensual'!P25</f>
        <v>0</v>
      </c>
      <c r="M24" s="877">
        <f>'[2]Reporte mensual'!S25</f>
        <v>0</v>
      </c>
      <c r="N24" s="877">
        <f>'[2]Reporte mensual'!V25</f>
        <v>0</v>
      </c>
      <c r="O24" s="877">
        <f>'[2]Reporte mensual'!Y25</f>
        <v>0</v>
      </c>
      <c r="P24" s="877">
        <f>'[2]Reporte mensual'!AB25</f>
        <v>0.16666666666666666</v>
      </c>
      <c r="Q24" s="877">
        <f>'[2]Reporte mensual'!AE25</f>
        <v>0.16666666666666666</v>
      </c>
      <c r="R24" s="877">
        <f>'[2]Reporte mensual'!AH25</f>
        <v>0.16666666666666666</v>
      </c>
      <c r="S24" s="877">
        <f>'[2]Reporte mensual'!AK25</f>
        <v>0.39996666666666664</v>
      </c>
      <c r="T24" s="877">
        <f>'[2]Reporte mensual'!AN25</f>
        <v>0.05</v>
      </c>
      <c r="U24" s="878">
        <f>'[2]Reporte mensual'!AQ25</f>
        <v>0.05</v>
      </c>
      <c r="V24" s="327">
        <f t="shared" si="2"/>
        <v>0.99996666666666667</v>
      </c>
    </row>
    <row r="25" spans="1:22" ht="50.25" customHeight="1" x14ac:dyDescent="0.25">
      <c r="A25" s="99" t="s">
        <v>734</v>
      </c>
      <c r="B25" s="100" t="s">
        <v>393</v>
      </c>
      <c r="C25" s="100" t="s">
        <v>474</v>
      </c>
      <c r="D25" s="101" t="s">
        <v>735</v>
      </c>
      <c r="E25" s="102" t="s">
        <v>475</v>
      </c>
      <c r="F25" s="324">
        <v>1</v>
      </c>
      <c r="G25" s="325">
        <v>44228</v>
      </c>
      <c r="H25" s="326">
        <v>44561</v>
      </c>
      <c r="I25" s="490">
        <v>2.3E-2</v>
      </c>
      <c r="J25" s="876">
        <f>'[2]Reporte mensual'!J26</f>
        <v>0</v>
      </c>
      <c r="K25" s="877">
        <f>'[2]Reporte mensual'!M26</f>
        <v>0.05</v>
      </c>
      <c r="L25" s="877">
        <f>'[2]Reporte mensual'!P26</f>
        <v>0.05</v>
      </c>
      <c r="M25" s="877">
        <f>'[2]Reporte mensual'!S26</f>
        <v>0.1</v>
      </c>
      <c r="N25" s="877">
        <f>'[2]Reporte mensual'!V26</f>
        <v>0.1</v>
      </c>
      <c r="O25" s="877">
        <f>'[2]Reporte mensual'!Y26</f>
        <v>0.1</v>
      </c>
      <c r="P25" s="877">
        <f>'[2]Reporte mensual'!AB26</f>
        <v>0.1</v>
      </c>
      <c r="Q25" s="877">
        <f>'[2]Reporte mensual'!AE26</f>
        <v>0.1</v>
      </c>
      <c r="R25" s="877">
        <f>'[2]Reporte mensual'!AH26</f>
        <v>0.1</v>
      </c>
      <c r="S25" s="877">
        <f>'[2]Reporte mensual'!AK26</f>
        <v>0.1</v>
      </c>
      <c r="T25" s="877">
        <f>'[2]Reporte mensual'!AN26</f>
        <v>0.1</v>
      </c>
      <c r="U25" s="878">
        <f>'[2]Reporte mensual'!AQ26</f>
        <v>0.1</v>
      </c>
      <c r="V25" s="327">
        <f t="shared" si="2"/>
        <v>0.99999999999999989</v>
      </c>
    </row>
    <row r="26" spans="1:22" ht="46.5" customHeight="1" x14ac:dyDescent="0.25">
      <c r="A26" s="244">
        <v>5</v>
      </c>
      <c r="B26" s="797" t="s">
        <v>403</v>
      </c>
      <c r="C26" s="797"/>
      <c r="D26" s="246" t="s">
        <v>375</v>
      </c>
      <c r="E26" s="245" t="s">
        <v>376</v>
      </c>
      <c r="F26" s="320">
        <v>1</v>
      </c>
      <c r="G26" s="321">
        <v>44228</v>
      </c>
      <c r="H26" s="322">
        <v>44561</v>
      </c>
      <c r="I26" s="489">
        <f>SUM(I27:I36)</f>
        <v>0.22999999999999995</v>
      </c>
      <c r="J26" s="873">
        <f>'[2]Reporte mensual'!J27</f>
        <v>0</v>
      </c>
      <c r="K26" s="874">
        <f>'[2]Reporte mensual'!M27</f>
        <v>2.5299999999999993E-3</v>
      </c>
      <c r="L26" s="874">
        <f>'[2]Reporte mensual'!P27</f>
        <v>2.2079999999999995E-2</v>
      </c>
      <c r="M26" s="874">
        <f>'[2]Reporte mensual'!S27</f>
        <v>1.7479999999999996E-2</v>
      </c>
      <c r="N26" s="874">
        <f>'[2]Reporte mensual'!V27</f>
        <v>4.6229999999999986E-2</v>
      </c>
      <c r="O26" s="874">
        <f>'[2]Reporte mensual'!Y27</f>
        <v>4.852999999999999E-2</v>
      </c>
      <c r="P26" s="874">
        <f>'[2]Reporte mensual'!AB27</f>
        <v>1.0119999999999997E-2</v>
      </c>
      <c r="Q26" s="874">
        <f>'[2]Reporte mensual'!AE27</f>
        <v>1.0119999999999997E-2</v>
      </c>
      <c r="R26" s="874">
        <f>'[2]Reporte mensual'!AH27</f>
        <v>2.5069999999999999E-2</v>
      </c>
      <c r="S26" s="874">
        <f>'[2]Reporte mensual'!AK27</f>
        <v>1.3569999999999997E-2</v>
      </c>
      <c r="T26" s="874">
        <f>'[2]Reporte mensual'!AN27</f>
        <v>8.9699999999999988E-3</v>
      </c>
      <c r="U26" s="875">
        <f>'[2]Reporte mensual'!AQ27</f>
        <v>2.53E-2</v>
      </c>
      <c r="V26" s="323">
        <f t="shared" si="2"/>
        <v>0.22999999999999995</v>
      </c>
    </row>
    <row r="27" spans="1:22" ht="61.5" customHeight="1" x14ac:dyDescent="0.25">
      <c r="A27" s="99" t="s">
        <v>404</v>
      </c>
      <c r="B27" s="100" t="s">
        <v>405</v>
      </c>
      <c r="C27" s="100" t="s">
        <v>406</v>
      </c>
      <c r="D27" s="101" t="s">
        <v>370</v>
      </c>
      <c r="E27" s="102" t="s">
        <v>407</v>
      </c>
      <c r="F27" s="324">
        <v>1</v>
      </c>
      <c r="G27" s="325">
        <v>44228</v>
      </c>
      <c r="H27" s="326">
        <v>44561</v>
      </c>
      <c r="I27" s="490">
        <v>2.3E-2</v>
      </c>
      <c r="J27" s="876">
        <f>'[2]Reporte mensual'!J28</f>
        <v>0</v>
      </c>
      <c r="K27" s="877">
        <f>'[2]Reporte mensual'!M28</f>
        <v>0</v>
      </c>
      <c r="L27" s="877">
        <f>'[2]Reporte mensual'!P28</f>
        <v>0.1</v>
      </c>
      <c r="M27" s="877">
        <f>'[2]Reporte mensual'!S28</f>
        <v>0.1</v>
      </c>
      <c r="N27" s="877">
        <f>'[2]Reporte mensual'!V28</f>
        <v>0.1</v>
      </c>
      <c r="O27" s="877">
        <f>'[2]Reporte mensual'!Y28</f>
        <v>0.1</v>
      </c>
      <c r="P27" s="877">
        <f>'[2]Reporte mensual'!AB28</f>
        <v>0.1</v>
      </c>
      <c r="Q27" s="877">
        <f>'[2]Reporte mensual'!AE28</f>
        <v>0.1</v>
      </c>
      <c r="R27" s="877">
        <f>'[2]Reporte mensual'!AH28</f>
        <v>0.1</v>
      </c>
      <c r="S27" s="877">
        <f>'[2]Reporte mensual'!AK28</f>
        <v>0.1</v>
      </c>
      <c r="T27" s="877">
        <f>'[2]Reporte mensual'!AN28</f>
        <v>0.1</v>
      </c>
      <c r="U27" s="878">
        <f>'[2]Reporte mensual'!AQ28</f>
        <v>0.1</v>
      </c>
      <c r="V27" s="327">
        <f t="shared" si="2"/>
        <v>0.99999999999999989</v>
      </c>
    </row>
    <row r="28" spans="1:22" ht="101.25" customHeight="1" x14ac:dyDescent="0.25">
      <c r="A28" s="99" t="s">
        <v>408</v>
      </c>
      <c r="B28" s="100" t="s">
        <v>409</v>
      </c>
      <c r="C28" s="100" t="s">
        <v>410</v>
      </c>
      <c r="D28" s="101" t="s">
        <v>401</v>
      </c>
      <c r="E28" s="102" t="s">
        <v>736</v>
      </c>
      <c r="F28" s="324">
        <v>1</v>
      </c>
      <c r="G28" s="325">
        <v>44228</v>
      </c>
      <c r="H28" s="326">
        <v>44377</v>
      </c>
      <c r="I28" s="490">
        <v>2.3E-2</v>
      </c>
      <c r="J28" s="876">
        <f>'[2]Reporte mensual'!J29</f>
        <v>0</v>
      </c>
      <c r="K28" s="877">
        <f>'[2]Reporte mensual'!M29</f>
        <v>0</v>
      </c>
      <c r="L28" s="877">
        <f>'[2]Reporte mensual'!P29</f>
        <v>0.1</v>
      </c>
      <c r="M28" s="877">
        <f>'[2]Reporte mensual'!S29</f>
        <v>0.2</v>
      </c>
      <c r="N28" s="877">
        <f>'[2]Reporte mensual'!V29</f>
        <v>0.3</v>
      </c>
      <c r="O28" s="877">
        <f>'[2]Reporte mensual'!Y29</f>
        <v>0.4</v>
      </c>
      <c r="P28" s="877">
        <f>'[2]Reporte mensual'!AB29</f>
        <v>0</v>
      </c>
      <c r="Q28" s="877">
        <f>'[2]Reporte mensual'!AE29</f>
        <v>0</v>
      </c>
      <c r="R28" s="877">
        <f>'[2]Reporte mensual'!AH29</f>
        <v>0</v>
      </c>
      <c r="S28" s="877">
        <f>'[2]Reporte mensual'!AK29</f>
        <v>0</v>
      </c>
      <c r="T28" s="877">
        <f>'[2]Reporte mensual'!AN29</f>
        <v>0</v>
      </c>
      <c r="U28" s="878">
        <f>'[2]Reporte mensual'!AQ29</f>
        <v>0</v>
      </c>
      <c r="V28" s="327">
        <f t="shared" si="2"/>
        <v>1</v>
      </c>
    </row>
    <row r="29" spans="1:22" ht="70.5" customHeight="1" x14ac:dyDescent="0.25">
      <c r="A29" s="99" t="s">
        <v>411</v>
      </c>
      <c r="B29" s="100" t="s">
        <v>405</v>
      </c>
      <c r="C29" s="100" t="s">
        <v>412</v>
      </c>
      <c r="D29" s="101" t="s">
        <v>401</v>
      </c>
      <c r="E29" s="102" t="s">
        <v>413</v>
      </c>
      <c r="F29" s="324">
        <v>1</v>
      </c>
      <c r="G29" s="325">
        <v>44228</v>
      </c>
      <c r="H29" s="326">
        <v>44377</v>
      </c>
      <c r="I29" s="490">
        <v>2.3E-2</v>
      </c>
      <c r="J29" s="876">
        <f>'[2]Reporte mensual'!J30</f>
        <v>0</v>
      </c>
      <c r="K29" s="877">
        <f>'[2]Reporte mensual'!M30</f>
        <v>0</v>
      </c>
      <c r="L29" s="877">
        <f>'[2]Reporte mensual'!P30</f>
        <v>0</v>
      </c>
      <c r="M29" s="877">
        <f>'[2]Reporte mensual'!S30</f>
        <v>0</v>
      </c>
      <c r="N29" s="877">
        <f>'[2]Reporte mensual'!V30</f>
        <v>0.5</v>
      </c>
      <c r="O29" s="877">
        <f>'[2]Reporte mensual'!Y30</f>
        <v>0.5</v>
      </c>
      <c r="P29" s="877">
        <f>'[2]Reporte mensual'!AB30</f>
        <v>0</v>
      </c>
      <c r="Q29" s="877">
        <f>'[2]Reporte mensual'!AE30</f>
        <v>0</v>
      </c>
      <c r="R29" s="877">
        <f>'[2]Reporte mensual'!AH30</f>
        <v>0</v>
      </c>
      <c r="S29" s="877">
        <f>'[2]Reporte mensual'!AK30</f>
        <v>0</v>
      </c>
      <c r="T29" s="877">
        <f>'[2]Reporte mensual'!AN30</f>
        <v>0</v>
      </c>
      <c r="U29" s="878">
        <f>'[2]Reporte mensual'!AQ30</f>
        <v>0</v>
      </c>
      <c r="V29" s="327">
        <f t="shared" si="2"/>
        <v>1</v>
      </c>
    </row>
    <row r="30" spans="1:22" ht="70.5" customHeight="1" x14ac:dyDescent="0.25">
      <c r="A30" s="99" t="s">
        <v>414</v>
      </c>
      <c r="B30" s="100" t="s">
        <v>405</v>
      </c>
      <c r="C30" s="100" t="s">
        <v>415</v>
      </c>
      <c r="D30" s="101" t="s">
        <v>401</v>
      </c>
      <c r="E30" s="102" t="s">
        <v>416</v>
      </c>
      <c r="F30" s="324">
        <v>1</v>
      </c>
      <c r="G30" s="325">
        <v>44228</v>
      </c>
      <c r="H30" s="326">
        <v>44561</v>
      </c>
      <c r="I30" s="490">
        <v>2.3E-2</v>
      </c>
      <c r="J30" s="876">
        <f>'[2]Reporte mensual'!J31</f>
        <v>0</v>
      </c>
      <c r="K30" s="877">
        <f>'[2]Reporte mensual'!M31</f>
        <v>0</v>
      </c>
      <c r="L30" s="877">
        <f>'[2]Reporte mensual'!P31</f>
        <v>0</v>
      </c>
      <c r="M30" s="877">
        <f>'[2]Reporte mensual'!S31</f>
        <v>0</v>
      </c>
      <c r="N30" s="877">
        <f>'[2]Reporte mensual'!V31</f>
        <v>0.25</v>
      </c>
      <c r="O30" s="877">
        <f>'[2]Reporte mensual'!Y31</f>
        <v>0.25</v>
      </c>
      <c r="P30" s="877">
        <f>'[2]Reporte mensual'!AB31</f>
        <v>0</v>
      </c>
      <c r="Q30" s="877">
        <f>'[2]Reporte mensual'!AE31</f>
        <v>0</v>
      </c>
      <c r="R30" s="877">
        <f>'[2]Reporte mensual'!AH31</f>
        <v>0.25</v>
      </c>
      <c r="S30" s="877">
        <f>'[2]Reporte mensual'!AK31</f>
        <v>0.25</v>
      </c>
      <c r="T30" s="877">
        <f>'[2]Reporte mensual'!AN31</f>
        <v>0</v>
      </c>
      <c r="U30" s="878">
        <f>'[2]Reporte mensual'!AQ31</f>
        <v>0</v>
      </c>
      <c r="V30" s="327">
        <f t="shared" si="2"/>
        <v>1</v>
      </c>
    </row>
    <row r="31" spans="1:22" ht="96" customHeight="1" x14ac:dyDescent="0.25">
      <c r="A31" s="99" t="s">
        <v>417</v>
      </c>
      <c r="B31" s="100" t="s">
        <v>418</v>
      </c>
      <c r="C31" s="100" t="s">
        <v>419</v>
      </c>
      <c r="D31" s="101" t="s">
        <v>418</v>
      </c>
      <c r="E31" s="102" t="s">
        <v>420</v>
      </c>
      <c r="F31" s="324">
        <v>1</v>
      </c>
      <c r="G31" s="325">
        <v>44228</v>
      </c>
      <c r="H31" s="326">
        <v>44561</v>
      </c>
      <c r="I31" s="490">
        <v>2.3E-2</v>
      </c>
      <c r="J31" s="876">
        <f>'[2]Reporte mensual'!J32</f>
        <v>0</v>
      </c>
      <c r="K31" s="877">
        <f>'[2]Reporte mensual'!M32</f>
        <v>0</v>
      </c>
      <c r="L31" s="877">
        <f>'[2]Reporte mensual'!P32</f>
        <v>0.25</v>
      </c>
      <c r="M31" s="877">
        <f>'[2]Reporte mensual'!S32</f>
        <v>0.25</v>
      </c>
      <c r="N31" s="877">
        <f>'[2]Reporte mensual'!V32</f>
        <v>0.5</v>
      </c>
      <c r="O31" s="877">
        <f>'[2]Reporte mensual'!Y32</f>
        <v>0</v>
      </c>
      <c r="P31" s="877">
        <f>'[2]Reporte mensual'!AB32</f>
        <v>0</v>
      </c>
      <c r="Q31" s="877">
        <f>'[2]Reporte mensual'!AE32</f>
        <v>0</v>
      </c>
      <c r="R31" s="877">
        <f>'[2]Reporte mensual'!AH32</f>
        <v>0</v>
      </c>
      <c r="S31" s="877">
        <f>'[2]Reporte mensual'!AK32</f>
        <v>0</v>
      </c>
      <c r="T31" s="877">
        <f>'[2]Reporte mensual'!AN32</f>
        <v>0</v>
      </c>
      <c r="U31" s="878">
        <f>'[2]Reporte mensual'!AQ32</f>
        <v>0</v>
      </c>
      <c r="V31" s="327">
        <f t="shared" si="2"/>
        <v>1</v>
      </c>
    </row>
    <row r="32" spans="1:22" ht="135.75" customHeight="1" x14ac:dyDescent="0.25">
      <c r="A32" s="99" t="s">
        <v>421</v>
      </c>
      <c r="B32" s="100" t="s">
        <v>418</v>
      </c>
      <c r="C32" s="100" t="s">
        <v>737</v>
      </c>
      <c r="D32" s="101" t="s">
        <v>422</v>
      </c>
      <c r="E32" s="102" t="s">
        <v>738</v>
      </c>
      <c r="F32" s="324">
        <v>1</v>
      </c>
      <c r="G32" s="325">
        <v>44228</v>
      </c>
      <c r="H32" s="326">
        <v>44561</v>
      </c>
      <c r="I32" s="490">
        <v>2.3E-2</v>
      </c>
      <c r="J32" s="876">
        <f>'[2]Reporte mensual'!J33</f>
        <v>0</v>
      </c>
      <c r="K32" s="877">
        <f>'[2]Reporte mensual'!M33</f>
        <v>0.02</v>
      </c>
      <c r="L32" s="877">
        <f>'[2]Reporte mensual'!P33</f>
        <v>7.0000000000000007E-2</v>
      </c>
      <c r="M32" s="877">
        <f>'[2]Reporte mensual'!S33</f>
        <v>0.12</v>
      </c>
      <c r="N32" s="877">
        <f>'[2]Reporte mensual'!V33</f>
        <v>0.12</v>
      </c>
      <c r="O32" s="877">
        <f>'[2]Reporte mensual'!Y33</f>
        <v>0.12</v>
      </c>
      <c r="P32" s="877">
        <f>'[2]Reporte mensual'!AB33</f>
        <v>0.1</v>
      </c>
      <c r="Q32" s="877">
        <f>'[2]Reporte mensual'!AE33</f>
        <v>0.1</v>
      </c>
      <c r="R32" s="877">
        <f>'[2]Reporte mensual'!AH33</f>
        <v>0.1</v>
      </c>
      <c r="S32" s="877">
        <f>'[2]Reporte mensual'!AK33</f>
        <v>0.1</v>
      </c>
      <c r="T32" s="877">
        <f>'[2]Reporte mensual'!AN33</f>
        <v>0.1</v>
      </c>
      <c r="U32" s="878">
        <f>'[2]Reporte mensual'!AQ33</f>
        <v>0.05</v>
      </c>
      <c r="V32" s="327">
        <f t="shared" si="2"/>
        <v>1</v>
      </c>
    </row>
    <row r="33" spans="1:22" ht="88.5" customHeight="1" x14ac:dyDescent="0.25">
      <c r="A33" s="99" t="s">
        <v>423</v>
      </c>
      <c r="B33" s="100" t="s">
        <v>418</v>
      </c>
      <c r="C33" s="100" t="s">
        <v>549</v>
      </c>
      <c r="D33" s="101" t="s">
        <v>418</v>
      </c>
      <c r="E33" s="102" t="s">
        <v>424</v>
      </c>
      <c r="F33" s="324">
        <v>1</v>
      </c>
      <c r="G33" s="325">
        <v>44228</v>
      </c>
      <c r="H33" s="326">
        <v>44286</v>
      </c>
      <c r="I33" s="490">
        <v>2.3E-2</v>
      </c>
      <c r="J33" s="876">
        <f>'[2]Reporte mensual'!J34</f>
        <v>0</v>
      </c>
      <c r="K33" s="877">
        <f>'[2]Reporte mensual'!M34</f>
        <v>0</v>
      </c>
      <c r="L33" s="877">
        <f>'[2]Reporte mensual'!P34</f>
        <v>0.1</v>
      </c>
      <c r="M33" s="877">
        <f>'[2]Reporte mensual'!S34</f>
        <v>0</v>
      </c>
      <c r="N33" s="877">
        <f>'[2]Reporte mensual'!V34</f>
        <v>0.15</v>
      </c>
      <c r="O33" s="877">
        <f>'[2]Reporte mensual'!Y34</f>
        <v>0.15</v>
      </c>
      <c r="P33" s="877">
        <f>'[2]Reporte mensual'!AB34</f>
        <v>0.15</v>
      </c>
      <c r="Q33" s="877">
        <f>'[2]Reporte mensual'!AE34</f>
        <v>0.15</v>
      </c>
      <c r="R33" s="877">
        <f>'[2]Reporte mensual'!AH34</f>
        <v>0.05</v>
      </c>
      <c r="S33" s="877">
        <f>'[2]Reporte mensual'!AK34</f>
        <v>0.05</v>
      </c>
      <c r="T33" s="877">
        <f>'[2]Reporte mensual'!AN34</f>
        <v>0.1</v>
      </c>
      <c r="U33" s="878">
        <f>'[2]Reporte mensual'!AQ34</f>
        <v>0.1</v>
      </c>
      <c r="V33" s="327">
        <f t="shared" si="2"/>
        <v>1.0000000000000002</v>
      </c>
    </row>
    <row r="34" spans="1:22" ht="48" customHeight="1" x14ac:dyDescent="0.25">
      <c r="A34" s="99" t="s">
        <v>425</v>
      </c>
      <c r="B34" s="100" t="s">
        <v>426</v>
      </c>
      <c r="C34" s="100" t="s">
        <v>427</v>
      </c>
      <c r="D34" s="101" t="s">
        <v>428</v>
      </c>
      <c r="E34" s="102" t="s">
        <v>1438</v>
      </c>
      <c r="F34" s="324">
        <v>1</v>
      </c>
      <c r="G34" s="325">
        <v>44228</v>
      </c>
      <c r="H34" s="326">
        <v>44561</v>
      </c>
      <c r="I34" s="490">
        <v>2.3E-2</v>
      </c>
      <c r="J34" s="876">
        <f>'[2]Reporte mensual'!J35</f>
        <v>0</v>
      </c>
      <c r="K34" s="877">
        <f>'[2]Reporte mensual'!M35</f>
        <v>0</v>
      </c>
      <c r="L34" s="877">
        <f>'[2]Reporte mensual'!P35</f>
        <v>0</v>
      </c>
      <c r="M34" s="877">
        <f>'[2]Reporte mensual'!S35</f>
        <v>0</v>
      </c>
      <c r="N34" s="877">
        <f>'[2]Reporte mensual'!V35</f>
        <v>0</v>
      </c>
      <c r="O34" s="877">
        <f>'[2]Reporte mensual'!Y35</f>
        <v>0.25</v>
      </c>
      <c r="P34" s="877">
        <f>'[2]Reporte mensual'!AB35</f>
        <v>0</v>
      </c>
      <c r="Q34" s="877">
        <f>'[2]Reporte mensual'!AE35</f>
        <v>0</v>
      </c>
      <c r="R34" s="877">
        <f>'[2]Reporte mensual'!AH35</f>
        <v>0.25</v>
      </c>
      <c r="S34" s="877">
        <f>'[2]Reporte mensual'!AK35</f>
        <v>0</v>
      </c>
      <c r="T34" s="877">
        <f>'[2]Reporte mensual'!AN35</f>
        <v>0</v>
      </c>
      <c r="U34" s="878">
        <f>'[2]Reporte mensual'!AQ35</f>
        <v>0.5</v>
      </c>
      <c r="V34" s="327">
        <f t="shared" si="2"/>
        <v>1</v>
      </c>
    </row>
    <row r="35" spans="1:22" ht="66" customHeight="1" x14ac:dyDescent="0.25">
      <c r="A35" s="99" t="s">
        <v>429</v>
      </c>
      <c r="B35" s="100" t="s">
        <v>418</v>
      </c>
      <c r="C35" s="100" t="s">
        <v>739</v>
      </c>
      <c r="D35" s="101" t="s">
        <v>740</v>
      </c>
      <c r="E35" s="102" t="s">
        <v>741</v>
      </c>
      <c r="F35" s="324">
        <v>1</v>
      </c>
      <c r="G35" s="325">
        <v>44228</v>
      </c>
      <c r="H35" s="326">
        <v>44561</v>
      </c>
      <c r="I35" s="490">
        <v>2.3E-2</v>
      </c>
      <c r="J35" s="876">
        <f>'[2]Reporte mensual'!J36</f>
        <v>0</v>
      </c>
      <c r="K35" s="877">
        <f>'[2]Reporte mensual'!M36</f>
        <v>0</v>
      </c>
      <c r="L35" s="877">
        <f>'[2]Reporte mensual'!P36</f>
        <v>0.25</v>
      </c>
      <c r="M35" s="877">
        <f>'[2]Reporte mensual'!S36</f>
        <v>0</v>
      </c>
      <c r="N35" s="877">
        <f>'[2]Reporte mensual'!V36</f>
        <v>0</v>
      </c>
      <c r="O35" s="877">
        <f>'[2]Reporte mensual'!Y36</f>
        <v>0.25</v>
      </c>
      <c r="P35" s="877">
        <f>'[2]Reporte mensual'!AB36</f>
        <v>0</v>
      </c>
      <c r="Q35" s="877">
        <f>'[2]Reporte mensual'!AE36</f>
        <v>0</v>
      </c>
      <c r="R35" s="877">
        <f>'[2]Reporte mensual'!AH36</f>
        <v>0.25</v>
      </c>
      <c r="S35" s="877">
        <f>'[2]Reporte mensual'!AK36</f>
        <v>0</v>
      </c>
      <c r="T35" s="877">
        <f>'[2]Reporte mensual'!AN36</f>
        <v>0</v>
      </c>
      <c r="U35" s="878">
        <f>'[2]Reporte mensual'!AQ36</f>
        <v>0.25</v>
      </c>
      <c r="V35" s="327">
        <f t="shared" si="2"/>
        <v>1</v>
      </c>
    </row>
    <row r="36" spans="1:22" ht="66" customHeight="1" x14ac:dyDescent="0.25">
      <c r="A36" s="99" t="s">
        <v>430</v>
      </c>
      <c r="B36" s="100" t="s">
        <v>431</v>
      </c>
      <c r="C36" s="100" t="s">
        <v>432</v>
      </c>
      <c r="D36" s="101" t="s">
        <v>433</v>
      </c>
      <c r="E36" s="102" t="s">
        <v>550</v>
      </c>
      <c r="F36" s="324">
        <v>1</v>
      </c>
      <c r="G36" s="325">
        <v>44228</v>
      </c>
      <c r="H36" s="326">
        <v>44561</v>
      </c>
      <c r="I36" s="490">
        <v>2.3E-2</v>
      </c>
      <c r="J36" s="876">
        <f>'[2]Reporte mensual'!J37</f>
        <v>0</v>
      </c>
      <c r="K36" s="877">
        <f>'[2]Reporte mensual'!M37</f>
        <v>0.09</v>
      </c>
      <c r="L36" s="877">
        <f>'[2]Reporte mensual'!P37</f>
        <v>0.09</v>
      </c>
      <c r="M36" s="877">
        <f>'[2]Reporte mensual'!S37</f>
        <v>0.09</v>
      </c>
      <c r="N36" s="877">
        <f>'[2]Reporte mensual'!V37</f>
        <v>0.09</v>
      </c>
      <c r="O36" s="877">
        <f>'[2]Reporte mensual'!Y37</f>
        <v>0.09</v>
      </c>
      <c r="P36" s="877">
        <f>'[2]Reporte mensual'!AB37</f>
        <v>0.09</v>
      </c>
      <c r="Q36" s="877">
        <f>'[2]Reporte mensual'!AE37</f>
        <v>0.09</v>
      </c>
      <c r="R36" s="877">
        <f>'[2]Reporte mensual'!AH37</f>
        <v>0.09</v>
      </c>
      <c r="S36" s="877">
        <f>'[2]Reporte mensual'!AK37</f>
        <v>0.09</v>
      </c>
      <c r="T36" s="877">
        <f>'[2]Reporte mensual'!AN37</f>
        <v>0.09</v>
      </c>
      <c r="U36" s="878">
        <f>'[2]Reporte mensual'!AQ37</f>
        <v>0.1</v>
      </c>
      <c r="V36" s="327">
        <f t="shared" si="2"/>
        <v>0.99999999999999978</v>
      </c>
    </row>
    <row r="37" spans="1:22" ht="71.25" customHeight="1" x14ac:dyDescent="0.25">
      <c r="A37" s="244">
        <v>6</v>
      </c>
      <c r="B37" s="797" t="s">
        <v>434</v>
      </c>
      <c r="C37" s="797"/>
      <c r="D37" s="246" t="s">
        <v>375</v>
      </c>
      <c r="E37" s="245" t="s">
        <v>376</v>
      </c>
      <c r="F37" s="329">
        <v>1</v>
      </c>
      <c r="G37" s="321">
        <v>44228</v>
      </c>
      <c r="H37" s="322">
        <v>44561</v>
      </c>
      <c r="I37" s="489">
        <f>SUM(I38:I39)</f>
        <v>4.5999999999999999E-2</v>
      </c>
      <c r="J37" s="873">
        <f>'[2]Reporte mensual'!J38</f>
        <v>0</v>
      </c>
      <c r="K37" s="874">
        <f>'[2]Reporte mensual'!M38</f>
        <v>0</v>
      </c>
      <c r="L37" s="874">
        <f>'[2]Reporte mensual'!P38</f>
        <v>0</v>
      </c>
      <c r="M37" s="874">
        <f>'[2]Reporte mensual'!S38</f>
        <v>5.7499999999999999E-3</v>
      </c>
      <c r="N37" s="874">
        <f>'[2]Reporte mensual'!V38</f>
        <v>0</v>
      </c>
      <c r="O37" s="874">
        <f>'[2]Reporte mensual'!Y38</f>
        <v>0</v>
      </c>
      <c r="P37" s="874">
        <f>'[2]Reporte mensual'!AB38</f>
        <v>5.7499999999999999E-3</v>
      </c>
      <c r="Q37" s="874">
        <f>'[2]Reporte mensual'!AE38</f>
        <v>6.8999999999999999E-3</v>
      </c>
      <c r="R37" s="874">
        <f>'[2]Reporte mensual'!AH38</f>
        <v>6.8999999999999999E-3</v>
      </c>
      <c r="S37" s="874">
        <f>'[2]Reporte mensual'!AK38</f>
        <v>9.1999999999999998E-3</v>
      </c>
      <c r="T37" s="874">
        <f>'[2]Reporte mensual'!AN38</f>
        <v>5.7499999999999999E-3</v>
      </c>
      <c r="U37" s="875">
        <f>'[2]Reporte mensual'!AQ38</f>
        <v>5.7499999999999999E-3</v>
      </c>
      <c r="V37" s="323">
        <f t="shared" si="2"/>
        <v>4.5999999999999999E-2</v>
      </c>
    </row>
    <row r="38" spans="1:22" ht="71.25" customHeight="1" x14ac:dyDescent="0.25">
      <c r="A38" s="99" t="s">
        <v>435</v>
      </c>
      <c r="B38" s="100" t="s">
        <v>436</v>
      </c>
      <c r="C38" s="100" t="s">
        <v>742</v>
      </c>
      <c r="D38" s="100" t="s">
        <v>401</v>
      </c>
      <c r="E38" s="102" t="s">
        <v>437</v>
      </c>
      <c r="F38" s="324">
        <v>1</v>
      </c>
      <c r="G38" s="325">
        <v>44228</v>
      </c>
      <c r="H38" s="326">
        <v>44561</v>
      </c>
      <c r="I38" s="490">
        <v>2.3E-2</v>
      </c>
      <c r="J38" s="876">
        <f>'[2]Reporte mensual'!J39</f>
        <v>0</v>
      </c>
      <c r="K38" s="877">
        <f>'[2]Reporte mensual'!M39</f>
        <v>0</v>
      </c>
      <c r="L38" s="877">
        <f>'[2]Reporte mensual'!P39</f>
        <v>0</v>
      </c>
      <c r="M38" s="877">
        <f>'[2]Reporte mensual'!S39</f>
        <v>0.25</v>
      </c>
      <c r="N38" s="877">
        <f>'[2]Reporte mensual'!V39</f>
        <v>0</v>
      </c>
      <c r="O38" s="877">
        <f>'[2]Reporte mensual'!Y39</f>
        <v>0</v>
      </c>
      <c r="P38" s="877">
        <f>'[2]Reporte mensual'!AB39</f>
        <v>0.25</v>
      </c>
      <c r="Q38" s="877">
        <f>'[2]Reporte mensual'!AE39</f>
        <v>0</v>
      </c>
      <c r="R38" s="877">
        <f>'[2]Reporte mensual'!AH39</f>
        <v>0</v>
      </c>
      <c r="S38" s="877">
        <f>'[2]Reporte mensual'!AK39</f>
        <v>0</v>
      </c>
      <c r="T38" s="877">
        <f>'[2]Reporte mensual'!AN39</f>
        <v>0.25</v>
      </c>
      <c r="U38" s="878">
        <f>'[2]Reporte mensual'!AQ39</f>
        <v>0.25</v>
      </c>
      <c r="V38" s="327">
        <f t="shared" si="2"/>
        <v>1</v>
      </c>
    </row>
    <row r="39" spans="1:22" ht="132" customHeight="1" x14ac:dyDescent="0.25">
      <c r="A39" s="99" t="s">
        <v>438</v>
      </c>
      <c r="B39" s="100" t="s">
        <v>436</v>
      </c>
      <c r="C39" s="100" t="s">
        <v>439</v>
      </c>
      <c r="D39" s="101" t="s">
        <v>370</v>
      </c>
      <c r="E39" s="102" t="s">
        <v>440</v>
      </c>
      <c r="F39" s="324">
        <v>1</v>
      </c>
      <c r="G39" s="325">
        <v>44228</v>
      </c>
      <c r="H39" s="326">
        <v>44561</v>
      </c>
      <c r="I39" s="490">
        <v>2.3E-2</v>
      </c>
      <c r="J39" s="876">
        <f>'[2]Reporte mensual'!J40</f>
        <v>0</v>
      </c>
      <c r="K39" s="877">
        <f>'[2]Reporte mensual'!M40</f>
        <v>0</v>
      </c>
      <c r="L39" s="877">
        <f>'[2]Reporte mensual'!P40</f>
        <v>0</v>
      </c>
      <c r="M39" s="877">
        <f>'[2]Reporte mensual'!S40</f>
        <v>0</v>
      </c>
      <c r="N39" s="877">
        <f>'[2]Reporte mensual'!V40</f>
        <v>0</v>
      </c>
      <c r="O39" s="877">
        <f>'[2]Reporte mensual'!Y40</f>
        <v>0</v>
      </c>
      <c r="P39" s="877">
        <f>'[2]Reporte mensual'!AB40</f>
        <v>0</v>
      </c>
      <c r="Q39" s="877">
        <f>'[2]Reporte mensual'!AE40</f>
        <v>0.3</v>
      </c>
      <c r="R39" s="877">
        <f>'[2]Reporte mensual'!AH40</f>
        <v>0.3</v>
      </c>
      <c r="S39" s="877">
        <f>'[2]Reporte mensual'!AK40</f>
        <v>0.4</v>
      </c>
      <c r="T39" s="877">
        <f>'[2]Reporte mensual'!AN40</f>
        <v>0</v>
      </c>
      <c r="U39" s="878">
        <f>'[2]Reporte mensual'!AQ40</f>
        <v>0</v>
      </c>
      <c r="V39" s="327">
        <f t="shared" si="2"/>
        <v>1</v>
      </c>
    </row>
    <row r="40" spans="1:22" ht="66.75" customHeight="1" x14ac:dyDescent="0.25">
      <c r="A40" s="244">
        <v>7</v>
      </c>
      <c r="B40" s="797" t="s">
        <v>441</v>
      </c>
      <c r="C40" s="797"/>
      <c r="D40" s="246" t="s">
        <v>375</v>
      </c>
      <c r="E40" s="245" t="s">
        <v>376</v>
      </c>
      <c r="F40" s="329">
        <v>1</v>
      </c>
      <c r="G40" s="321">
        <v>44228</v>
      </c>
      <c r="H40" s="322">
        <v>44561</v>
      </c>
      <c r="I40" s="489">
        <f>SUM(I41:I44)</f>
        <v>9.1999999999999998E-2</v>
      </c>
      <c r="J40" s="873">
        <f>'[2]Reporte mensual'!J41</f>
        <v>0</v>
      </c>
      <c r="K40" s="874">
        <f>'[2]Reporte mensual'!M41</f>
        <v>0</v>
      </c>
      <c r="L40" s="874">
        <f>'[2]Reporte mensual'!P41</f>
        <v>6.8999999999999999E-3</v>
      </c>
      <c r="M40" s="874">
        <f>'[2]Reporte mensual'!S41</f>
        <v>8.0499999999999999E-3</v>
      </c>
      <c r="N40" s="874">
        <f>'[2]Reporte mensual'!V41</f>
        <v>8.0499999999999999E-3</v>
      </c>
      <c r="O40" s="874">
        <f>'[2]Reporte mensual'!Y41</f>
        <v>4.5999999999999999E-3</v>
      </c>
      <c r="P40" s="874">
        <f>'[2]Reporte mensual'!AB41</f>
        <v>4.5999999999999999E-3</v>
      </c>
      <c r="Q40" s="874">
        <f>'[2]Reporte mensual'!AE41</f>
        <v>2.7600000000000003E-2</v>
      </c>
      <c r="R40" s="874">
        <f>'[2]Reporte mensual'!AH41</f>
        <v>1.9549999999999998E-2</v>
      </c>
      <c r="S40" s="874">
        <f>'[2]Reporte mensual'!AK41</f>
        <v>6.8999999999999999E-3</v>
      </c>
      <c r="T40" s="874">
        <f>'[2]Reporte mensual'!AN41</f>
        <v>4.5999999999999999E-3</v>
      </c>
      <c r="U40" s="875">
        <f>'[2]Reporte mensual'!AQ41</f>
        <v>1.15E-3</v>
      </c>
      <c r="V40" s="323">
        <f t="shared" si="2"/>
        <v>9.2000000000000012E-2</v>
      </c>
    </row>
    <row r="41" spans="1:22" ht="72" customHeight="1" x14ac:dyDescent="0.25">
      <c r="A41" s="99" t="s">
        <v>442</v>
      </c>
      <c r="B41" s="100" t="s">
        <v>443</v>
      </c>
      <c r="C41" s="100" t="s">
        <v>444</v>
      </c>
      <c r="D41" s="100" t="s">
        <v>401</v>
      </c>
      <c r="E41" s="102" t="s">
        <v>445</v>
      </c>
      <c r="F41" s="324">
        <v>1</v>
      </c>
      <c r="G41" s="325">
        <v>44228</v>
      </c>
      <c r="H41" s="326">
        <v>44438</v>
      </c>
      <c r="I41" s="490">
        <v>2.3E-2</v>
      </c>
      <c r="J41" s="876">
        <f>'[2]Reporte mensual'!J42</f>
        <v>0</v>
      </c>
      <c r="K41" s="877">
        <f>'[2]Reporte mensual'!M42</f>
        <v>0</v>
      </c>
      <c r="L41" s="877">
        <f>'[2]Reporte mensual'!P42</f>
        <v>0.25</v>
      </c>
      <c r="M41" s="877">
        <f>'[2]Reporte mensual'!S42</f>
        <v>0.25</v>
      </c>
      <c r="N41" s="877">
        <f>'[2]Reporte mensual'!V42</f>
        <v>0.25</v>
      </c>
      <c r="O41" s="877">
        <f>'[2]Reporte mensual'!Y42</f>
        <v>0.05</v>
      </c>
      <c r="P41" s="877">
        <f>'[2]Reporte mensual'!AB42</f>
        <v>0.1</v>
      </c>
      <c r="Q41" s="877">
        <f>'[2]Reporte mensual'!AE42</f>
        <v>0.1</v>
      </c>
      <c r="R41" s="877">
        <f>'[2]Reporte mensual'!AH42</f>
        <v>0</v>
      </c>
      <c r="S41" s="877">
        <f>'[2]Reporte mensual'!AK42</f>
        <v>0</v>
      </c>
      <c r="T41" s="877">
        <f>'[2]Reporte mensual'!AN42</f>
        <v>0</v>
      </c>
      <c r="U41" s="878">
        <f>'[2]Reporte mensual'!AQ42</f>
        <v>0</v>
      </c>
      <c r="V41" s="327">
        <f t="shared" si="2"/>
        <v>1</v>
      </c>
    </row>
    <row r="42" spans="1:22" ht="105" customHeight="1" x14ac:dyDescent="0.25">
      <c r="A42" s="99" t="s">
        <v>446</v>
      </c>
      <c r="B42" s="100" t="s">
        <v>443</v>
      </c>
      <c r="C42" s="100" t="s">
        <v>447</v>
      </c>
      <c r="D42" s="101" t="s">
        <v>401</v>
      </c>
      <c r="E42" s="102" t="s">
        <v>448</v>
      </c>
      <c r="F42" s="324">
        <v>1</v>
      </c>
      <c r="G42" s="325">
        <v>44228</v>
      </c>
      <c r="H42" s="326">
        <v>44561</v>
      </c>
      <c r="I42" s="490">
        <v>2.3E-2</v>
      </c>
      <c r="J42" s="876">
        <f>'[2]Reporte mensual'!J43</f>
        <v>0</v>
      </c>
      <c r="K42" s="877">
        <f>'[2]Reporte mensual'!M43</f>
        <v>0</v>
      </c>
      <c r="L42" s="877">
        <f>'[2]Reporte mensual'!P43</f>
        <v>0</v>
      </c>
      <c r="M42" s="877">
        <f>'[2]Reporte mensual'!S43</f>
        <v>0</v>
      </c>
      <c r="N42" s="877">
        <f>'[2]Reporte mensual'!V43</f>
        <v>0</v>
      </c>
      <c r="O42" s="877">
        <f>'[2]Reporte mensual'!Y43</f>
        <v>0</v>
      </c>
      <c r="P42" s="877">
        <f>'[2]Reporte mensual'!AB43</f>
        <v>0</v>
      </c>
      <c r="Q42" s="877">
        <f>'[2]Reporte mensual'!AE43</f>
        <v>0.5</v>
      </c>
      <c r="R42" s="877">
        <f>'[2]Reporte mensual'!AH43</f>
        <v>0.5</v>
      </c>
      <c r="S42" s="877">
        <f>'[2]Reporte mensual'!AK43</f>
        <v>0</v>
      </c>
      <c r="T42" s="877">
        <f>'[2]Reporte mensual'!AN43</f>
        <v>0</v>
      </c>
      <c r="U42" s="878">
        <f>'[2]Reporte mensual'!AQ43</f>
        <v>0</v>
      </c>
      <c r="V42" s="327">
        <f t="shared" si="2"/>
        <v>1</v>
      </c>
    </row>
    <row r="43" spans="1:22" ht="72" customHeight="1" x14ac:dyDescent="0.25">
      <c r="A43" s="99" t="s">
        <v>449</v>
      </c>
      <c r="B43" s="100" t="s">
        <v>443</v>
      </c>
      <c r="C43" s="100" t="s">
        <v>453</v>
      </c>
      <c r="D43" s="101" t="s">
        <v>401</v>
      </c>
      <c r="E43" s="102" t="s">
        <v>454</v>
      </c>
      <c r="F43" s="324">
        <v>1</v>
      </c>
      <c r="G43" s="325">
        <v>44228</v>
      </c>
      <c r="H43" s="326">
        <v>44561</v>
      </c>
      <c r="I43" s="490">
        <v>2.3E-2</v>
      </c>
      <c r="J43" s="876">
        <f>'[2]Reporte mensual'!J44</f>
        <v>0</v>
      </c>
      <c r="K43" s="877">
        <f>'[2]Reporte mensual'!M44</f>
        <v>0</v>
      </c>
      <c r="L43" s="877">
        <f>'[2]Reporte mensual'!P44</f>
        <v>0</v>
      </c>
      <c r="M43" s="877">
        <f>'[2]Reporte mensual'!S44</f>
        <v>0</v>
      </c>
      <c r="N43" s="877">
        <f>'[2]Reporte mensual'!V44</f>
        <v>0</v>
      </c>
      <c r="O43" s="877">
        <f>'[2]Reporte mensual'!Y44</f>
        <v>0</v>
      </c>
      <c r="P43" s="877">
        <f>'[2]Reporte mensual'!AB44</f>
        <v>0</v>
      </c>
      <c r="Q43" s="877">
        <f>'[2]Reporte mensual'!AE44</f>
        <v>0.5</v>
      </c>
      <c r="R43" s="877">
        <f>'[2]Reporte mensual'!AH44</f>
        <v>0.25</v>
      </c>
      <c r="S43" s="877">
        <f>'[2]Reporte mensual'!AK44</f>
        <v>0.15</v>
      </c>
      <c r="T43" s="877">
        <f>'[2]Reporte mensual'!AN44</f>
        <v>0.1</v>
      </c>
      <c r="U43" s="878">
        <f>'[2]Reporte mensual'!AQ44</f>
        <v>0</v>
      </c>
      <c r="V43" s="327">
        <f t="shared" si="2"/>
        <v>1</v>
      </c>
    </row>
    <row r="44" spans="1:22" ht="72" customHeight="1" x14ac:dyDescent="0.25">
      <c r="A44" s="99" t="s">
        <v>452</v>
      </c>
      <c r="B44" s="330" t="s">
        <v>443</v>
      </c>
      <c r="C44" s="330" t="s">
        <v>743</v>
      </c>
      <c r="D44" s="331" t="s">
        <v>744</v>
      </c>
      <c r="E44" s="332" t="s">
        <v>745</v>
      </c>
      <c r="F44" s="333">
        <v>1</v>
      </c>
      <c r="G44" s="334">
        <v>44228</v>
      </c>
      <c r="H44" s="335">
        <v>44561</v>
      </c>
      <c r="I44" s="490">
        <v>2.3E-2</v>
      </c>
      <c r="J44" s="876">
        <f>'[2]Reporte mensual'!J45</f>
        <v>0</v>
      </c>
      <c r="K44" s="877">
        <f>'[2]Reporte mensual'!M45</f>
        <v>0</v>
      </c>
      <c r="L44" s="877">
        <f>'[2]Reporte mensual'!P45</f>
        <v>0.05</v>
      </c>
      <c r="M44" s="877">
        <f>'[2]Reporte mensual'!S45</f>
        <v>0.1</v>
      </c>
      <c r="N44" s="877">
        <f>'[2]Reporte mensual'!V45</f>
        <v>0.1</v>
      </c>
      <c r="O44" s="877">
        <f>'[2]Reporte mensual'!Y45</f>
        <v>0.15</v>
      </c>
      <c r="P44" s="877">
        <f>'[2]Reporte mensual'!AB45</f>
        <v>0.1</v>
      </c>
      <c r="Q44" s="877">
        <f>'[2]Reporte mensual'!AE45</f>
        <v>0.1</v>
      </c>
      <c r="R44" s="877">
        <f>'[2]Reporte mensual'!AH45</f>
        <v>0.1</v>
      </c>
      <c r="S44" s="877">
        <f>'[2]Reporte mensual'!AK45</f>
        <v>0.15</v>
      </c>
      <c r="T44" s="877">
        <f>'[2]Reporte mensual'!AN45</f>
        <v>0.1</v>
      </c>
      <c r="U44" s="878">
        <f>'[2]Reporte mensual'!AQ45</f>
        <v>0.05</v>
      </c>
      <c r="V44" s="327">
        <f t="shared" si="2"/>
        <v>1</v>
      </c>
    </row>
    <row r="45" spans="1:22" ht="68.25" customHeight="1" x14ac:dyDescent="0.25">
      <c r="A45" s="244">
        <v>8</v>
      </c>
      <c r="B45" s="797" t="s">
        <v>455</v>
      </c>
      <c r="C45" s="797"/>
      <c r="D45" s="246" t="s">
        <v>375</v>
      </c>
      <c r="E45" s="245" t="s">
        <v>376</v>
      </c>
      <c r="F45" s="329">
        <v>1</v>
      </c>
      <c r="G45" s="321">
        <v>44228</v>
      </c>
      <c r="H45" s="322">
        <v>44561</v>
      </c>
      <c r="I45" s="489">
        <f>SUM(I46:I48)</f>
        <v>6.9000000000000006E-2</v>
      </c>
      <c r="J45" s="873">
        <f>'[2]Reporte mensual'!J46</f>
        <v>0</v>
      </c>
      <c r="K45" s="874">
        <f>'[2]Reporte mensual'!M46</f>
        <v>9.2000000000000014E-4</v>
      </c>
      <c r="L45" s="874">
        <f>'[2]Reporte mensual'!P46</f>
        <v>6.9000000000000016E-3</v>
      </c>
      <c r="M45" s="874">
        <f>'[2]Reporte mensual'!S46</f>
        <v>6.9000000000000016E-3</v>
      </c>
      <c r="N45" s="874">
        <f>'[2]Reporte mensual'!V46</f>
        <v>8.9700000000000005E-3</v>
      </c>
      <c r="O45" s="874">
        <f>'[2]Reporte mensual'!Y46</f>
        <v>1.771E-2</v>
      </c>
      <c r="P45" s="874">
        <f>'[2]Reporte mensual'!AB46</f>
        <v>4.5999999999999999E-3</v>
      </c>
      <c r="Q45" s="874">
        <f>'[2]Reporte mensual'!AE46</f>
        <v>1.38E-2</v>
      </c>
      <c r="R45" s="874">
        <f>'[2]Reporte mensual'!AH46</f>
        <v>2.3E-3</v>
      </c>
      <c r="S45" s="874">
        <f>'[2]Reporte mensual'!AK46</f>
        <v>2.3E-3</v>
      </c>
      <c r="T45" s="874">
        <f>'[2]Reporte mensual'!AN46</f>
        <v>2.3E-3</v>
      </c>
      <c r="U45" s="875">
        <f>'[2]Reporte mensual'!AQ46</f>
        <v>2.3E-3</v>
      </c>
      <c r="V45" s="323">
        <f t="shared" si="2"/>
        <v>6.8999999999999992E-2</v>
      </c>
    </row>
    <row r="46" spans="1:22" ht="94.5" customHeight="1" x14ac:dyDescent="0.25">
      <c r="A46" s="99" t="s">
        <v>456</v>
      </c>
      <c r="B46" s="100" t="s">
        <v>457</v>
      </c>
      <c r="C46" s="100" t="s">
        <v>458</v>
      </c>
      <c r="D46" s="100" t="s">
        <v>401</v>
      </c>
      <c r="E46" s="102" t="s">
        <v>459</v>
      </c>
      <c r="F46" s="324">
        <v>1</v>
      </c>
      <c r="G46" s="325">
        <v>44228</v>
      </c>
      <c r="H46" s="326">
        <v>44561</v>
      </c>
      <c r="I46" s="490">
        <v>2.3E-2</v>
      </c>
      <c r="J46" s="876">
        <f>'[2]Reporte mensual'!J47</f>
        <v>0</v>
      </c>
      <c r="K46" s="877">
        <f>'[2]Reporte mensual'!M47</f>
        <v>0</v>
      </c>
      <c r="L46" s="877">
        <f>'[2]Reporte mensual'!P47</f>
        <v>0.1</v>
      </c>
      <c r="M46" s="877">
        <f>'[2]Reporte mensual'!S47</f>
        <v>0.1</v>
      </c>
      <c r="N46" s="877">
        <f>'[2]Reporte mensual'!V47</f>
        <v>0.1</v>
      </c>
      <c r="O46" s="877">
        <f>'[2]Reporte mensual'!Y47</f>
        <v>0.1</v>
      </c>
      <c r="P46" s="877">
        <f>'[2]Reporte mensual'!AB47</f>
        <v>0.1</v>
      </c>
      <c r="Q46" s="877">
        <f>'[2]Reporte mensual'!AE47</f>
        <v>0.1</v>
      </c>
      <c r="R46" s="877">
        <f>'[2]Reporte mensual'!AH47</f>
        <v>0.1</v>
      </c>
      <c r="S46" s="877">
        <f>'[2]Reporte mensual'!AK47</f>
        <v>0.1</v>
      </c>
      <c r="T46" s="877">
        <f>'[2]Reporte mensual'!AN47</f>
        <v>0.1</v>
      </c>
      <c r="U46" s="878">
        <f>'[2]Reporte mensual'!AQ47</f>
        <v>0.1</v>
      </c>
      <c r="V46" s="327">
        <f t="shared" si="2"/>
        <v>0.99999999999999989</v>
      </c>
    </row>
    <row r="47" spans="1:22" ht="123.75" customHeight="1" x14ac:dyDescent="0.25">
      <c r="A47" s="99" t="s">
        <v>460</v>
      </c>
      <c r="B47" s="100" t="s">
        <v>457</v>
      </c>
      <c r="C47" s="100" t="s">
        <v>461</v>
      </c>
      <c r="D47" s="100" t="s">
        <v>401</v>
      </c>
      <c r="E47" s="102" t="s">
        <v>746</v>
      </c>
      <c r="F47" s="324">
        <v>1</v>
      </c>
      <c r="G47" s="325">
        <v>44228</v>
      </c>
      <c r="H47" s="326">
        <v>44561</v>
      </c>
      <c r="I47" s="490">
        <v>2.3E-2</v>
      </c>
      <c r="J47" s="876">
        <f>'[2]Reporte mensual'!J48</f>
        <v>0</v>
      </c>
      <c r="K47" s="877">
        <f>'[2]Reporte mensual'!M48</f>
        <v>0</v>
      </c>
      <c r="L47" s="877">
        <f>'[2]Reporte mensual'!P48</f>
        <v>0.1</v>
      </c>
      <c r="M47" s="877">
        <f>'[2]Reporte mensual'!S48</f>
        <v>0.1</v>
      </c>
      <c r="N47" s="877">
        <f>'[2]Reporte mensual'!V48</f>
        <v>0.1</v>
      </c>
      <c r="O47" s="877">
        <f>'[2]Reporte mensual'!Y48</f>
        <v>0.1</v>
      </c>
      <c r="P47" s="877">
        <f>'[2]Reporte mensual'!AB48</f>
        <v>0.1</v>
      </c>
      <c r="Q47" s="877">
        <f>'[2]Reporte mensual'!AE48</f>
        <v>0.5</v>
      </c>
      <c r="R47" s="877">
        <f>'[2]Reporte mensual'!AH48</f>
        <v>0</v>
      </c>
      <c r="S47" s="877">
        <f>'[2]Reporte mensual'!AK48</f>
        <v>0</v>
      </c>
      <c r="T47" s="877">
        <f>'[2]Reporte mensual'!AN48</f>
        <v>0</v>
      </c>
      <c r="U47" s="878">
        <f>'[2]Reporte mensual'!AQ48</f>
        <v>0</v>
      </c>
      <c r="V47" s="327">
        <f t="shared" si="2"/>
        <v>1</v>
      </c>
    </row>
    <row r="48" spans="1:22" ht="63" customHeight="1" x14ac:dyDescent="0.25">
      <c r="A48" s="99" t="s">
        <v>462</v>
      </c>
      <c r="B48" s="100" t="s">
        <v>457</v>
      </c>
      <c r="C48" s="100" t="s">
        <v>747</v>
      </c>
      <c r="D48" s="101" t="s">
        <v>380</v>
      </c>
      <c r="E48" s="102" t="s">
        <v>551</v>
      </c>
      <c r="F48" s="324">
        <v>1</v>
      </c>
      <c r="G48" s="325">
        <v>44228</v>
      </c>
      <c r="H48" s="326">
        <v>44561</v>
      </c>
      <c r="I48" s="490">
        <v>2.3E-2</v>
      </c>
      <c r="J48" s="876">
        <f>'[2]Reporte mensual'!J49</f>
        <v>0</v>
      </c>
      <c r="K48" s="877">
        <f>'[2]Reporte mensual'!M49</f>
        <v>0.04</v>
      </c>
      <c r="L48" s="877">
        <f>'[2]Reporte mensual'!P49</f>
        <v>0.1</v>
      </c>
      <c r="M48" s="877">
        <f>'[2]Reporte mensual'!S49</f>
        <v>0.1</v>
      </c>
      <c r="N48" s="877">
        <f>'[2]Reporte mensual'!V49</f>
        <v>0.19</v>
      </c>
      <c r="O48" s="877">
        <f>'[2]Reporte mensual'!Y49</f>
        <v>0.57000000000000006</v>
      </c>
      <c r="P48" s="877">
        <f>'[2]Reporte mensual'!AB49</f>
        <v>0</v>
      </c>
      <c r="Q48" s="877">
        <f>'[2]Reporte mensual'!AE49</f>
        <v>0</v>
      </c>
      <c r="R48" s="877">
        <f>'[2]Reporte mensual'!AH49</f>
        <v>0</v>
      </c>
      <c r="S48" s="877">
        <f>'[2]Reporte mensual'!AK49</f>
        <v>0</v>
      </c>
      <c r="T48" s="877">
        <f>'[2]Reporte mensual'!AN49</f>
        <v>0</v>
      </c>
      <c r="U48" s="878">
        <f>'[2]Reporte mensual'!AQ49</f>
        <v>0</v>
      </c>
      <c r="V48" s="327">
        <f t="shared" si="2"/>
        <v>1</v>
      </c>
    </row>
    <row r="49" spans="1:22" ht="73.5" customHeight="1" x14ac:dyDescent="0.25">
      <c r="A49" s="244">
        <v>9</v>
      </c>
      <c r="B49" s="797" t="s">
        <v>463</v>
      </c>
      <c r="C49" s="797"/>
      <c r="D49" s="246" t="s">
        <v>464</v>
      </c>
      <c r="E49" s="245" t="s">
        <v>376</v>
      </c>
      <c r="F49" s="320">
        <v>1</v>
      </c>
      <c r="G49" s="321">
        <v>44228</v>
      </c>
      <c r="H49" s="322">
        <v>44561</v>
      </c>
      <c r="I49" s="489">
        <f>SUM(I50:I55)</f>
        <v>0.13799999999999998</v>
      </c>
      <c r="J49" s="873">
        <f>'[2]Reporte mensual'!J50</f>
        <v>0</v>
      </c>
      <c r="K49" s="874">
        <f>'[2]Reporte mensual'!M50</f>
        <v>0</v>
      </c>
      <c r="L49" s="874">
        <f>'[2]Reporte mensual'!P50</f>
        <v>9.1999999999999981E-3</v>
      </c>
      <c r="M49" s="874">
        <f>'[2]Reporte mensual'!S50</f>
        <v>1.0349999999999998E-2</v>
      </c>
      <c r="N49" s="874">
        <f>'[2]Reporte mensual'!V50</f>
        <v>8.5099999999999985E-3</v>
      </c>
      <c r="O49" s="874">
        <f>'[2]Reporte mensual'!Y50</f>
        <v>2.5759999999999998E-2</v>
      </c>
      <c r="P49" s="874">
        <f>'[2]Reporte mensual'!AB50</f>
        <v>4.0755999999999987E-2</v>
      </c>
      <c r="Q49" s="874">
        <f>'[2]Reporte mensual'!AE50</f>
        <v>2.3505999999999999E-2</v>
      </c>
      <c r="R49" s="874">
        <f>'[2]Reporte mensual'!AH50</f>
        <v>7.4059999999999994E-3</v>
      </c>
      <c r="S49" s="874">
        <f>'[2]Reporte mensual'!AK50</f>
        <v>5.703999999999999E-3</v>
      </c>
      <c r="T49" s="874">
        <f>'[2]Reporte mensual'!AN50</f>
        <v>5.703999999999999E-3</v>
      </c>
      <c r="U49" s="875">
        <f>'[2]Reporte mensual'!AQ50</f>
        <v>1.1039999999999999E-3</v>
      </c>
      <c r="V49" s="323">
        <f t="shared" si="2"/>
        <v>0.13799999999999996</v>
      </c>
    </row>
    <row r="50" spans="1:22" ht="73.5" customHeight="1" x14ac:dyDescent="0.25">
      <c r="A50" s="99" t="s">
        <v>465</v>
      </c>
      <c r="B50" s="100" t="s">
        <v>466</v>
      </c>
      <c r="C50" s="100" t="s">
        <v>748</v>
      </c>
      <c r="D50" s="101" t="s">
        <v>467</v>
      </c>
      <c r="E50" s="102" t="s">
        <v>749</v>
      </c>
      <c r="F50" s="324">
        <v>1</v>
      </c>
      <c r="G50" s="325">
        <v>44378</v>
      </c>
      <c r="H50" s="326">
        <v>44439</v>
      </c>
      <c r="I50" s="490">
        <v>2.3E-2</v>
      </c>
      <c r="J50" s="876">
        <f>'[2]Reporte mensual'!J51</f>
        <v>0</v>
      </c>
      <c r="K50" s="877">
        <f>'[2]Reporte mensual'!M51</f>
        <v>0</v>
      </c>
      <c r="L50" s="877">
        <f>'[2]Reporte mensual'!P51</f>
        <v>0</v>
      </c>
      <c r="M50" s="877">
        <f>'[2]Reporte mensual'!S51</f>
        <v>0</v>
      </c>
      <c r="N50" s="877">
        <f>'[2]Reporte mensual'!V51</f>
        <v>0</v>
      </c>
      <c r="O50" s="877">
        <f>'[2]Reporte mensual'!Y51</f>
        <v>0</v>
      </c>
      <c r="P50" s="877">
        <f>'[2]Reporte mensual'!AB51</f>
        <v>0.5</v>
      </c>
      <c r="Q50" s="877">
        <f>'[2]Reporte mensual'!AE51</f>
        <v>0.5</v>
      </c>
      <c r="R50" s="877">
        <f>'[2]Reporte mensual'!AH51</f>
        <v>0</v>
      </c>
      <c r="S50" s="877">
        <f>'[2]Reporte mensual'!AK51</f>
        <v>0</v>
      </c>
      <c r="T50" s="877">
        <f>'[2]Reporte mensual'!AN51</f>
        <v>0</v>
      </c>
      <c r="U50" s="878">
        <f>'[2]Reporte mensual'!AQ51</f>
        <v>0</v>
      </c>
      <c r="V50" s="327">
        <f t="shared" si="2"/>
        <v>1</v>
      </c>
    </row>
    <row r="51" spans="1:22" ht="73.5" customHeight="1" x14ac:dyDescent="0.25">
      <c r="A51" s="99" t="s">
        <v>468</v>
      </c>
      <c r="B51" s="100" t="s">
        <v>466</v>
      </c>
      <c r="C51" s="100" t="s">
        <v>750</v>
      </c>
      <c r="D51" s="101" t="s">
        <v>467</v>
      </c>
      <c r="E51" s="102" t="s">
        <v>751</v>
      </c>
      <c r="F51" s="324">
        <v>1</v>
      </c>
      <c r="G51" s="325">
        <v>44287</v>
      </c>
      <c r="H51" s="326">
        <v>44561</v>
      </c>
      <c r="I51" s="490">
        <v>2.3E-2</v>
      </c>
      <c r="J51" s="876">
        <f>'[2]Reporte mensual'!J52</f>
        <v>0</v>
      </c>
      <c r="K51" s="877">
        <f>'[2]Reporte mensual'!M52</f>
        <v>0</v>
      </c>
      <c r="L51" s="877">
        <f>'[2]Reporte mensual'!P52</f>
        <v>0</v>
      </c>
      <c r="M51" s="877">
        <f>'[2]Reporte mensual'!S52</f>
        <v>0.25</v>
      </c>
      <c r="N51" s="877">
        <f>'[2]Reporte mensual'!V52</f>
        <v>0.25</v>
      </c>
      <c r="O51" s="877">
        <f>'[2]Reporte mensual'!Y52</f>
        <v>0</v>
      </c>
      <c r="P51" s="877">
        <f>'[2]Reporte mensual'!AB52</f>
        <v>0</v>
      </c>
      <c r="Q51" s="877">
        <f>'[2]Reporte mensual'!AE52</f>
        <v>0.25</v>
      </c>
      <c r="R51" s="877">
        <f>'[2]Reporte mensual'!AH52</f>
        <v>0.25</v>
      </c>
      <c r="S51" s="877">
        <f>'[2]Reporte mensual'!AK52</f>
        <v>0</v>
      </c>
      <c r="T51" s="877">
        <f>'[2]Reporte mensual'!AN52</f>
        <v>0</v>
      </c>
      <c r="U51" s="878">
        <f>'[2]Reporte mensual'!AQ52</f>
        <v>0</v>
      </c>
      <c r="V51" s="327">
        <f t="shared" si="2"/>
        <v>1</v>
      </c>
    </row>
    <row r="52" spans="1:22" ht="73.5" customHeight="1" x14ac:dyDescent="0.25">
      <c r="A52" s="99" t="s">
        <v>472</v>
      </c>
      <c r="B52" s="100" t="s">
        <v>466</v>
      </c>
      <c r="C52" s="100" t="s">
        <v>752</v>
      </c>
      <c r="D52" s="101" t="s">
        <v>467</v>
      </c>
      <c r="E52" s="102" t="s">
        <v>753</v>
      </c>
      <c r="F52" s="324">
        <v>1</v>
      </c>
      <c r="G52" s="325">
        <v>44228</v>
      </c>
      <c r="H52" s="326">
        <v>44561</v>
      </c>
      <c r="I52" s="490">
        <v>2.3E-2</v>
      </c>
      <c r="J52" s="876">
        <f>'[2]Reporte mensual'!J53</f>
        <v>0</v>
      </c>
      <c r="K52" s="877">
        <f>'[2]Reporte mensual'!M53</f>
        <v>0</v>
      </c>
      <c r="L52" s="877">
        <f>'[2]Reporte mensual'!P53</f>
        <v>0.2</v>
      </c>
      <c r="M52" s="877">
        <f>'[2]Reporte mensual'!S53</f>
        <v>0</v>
      </c>
      <c r="N52" s="877">
        <f>'[2]Reporte mensual'!V53</f>
        <v>0</v>
      </c>
      <c r="O52" s="877">
        <f>'[2]Reporte mensual'!Y53</f>
        <v>0</v>
      </c>
      <c r="P52" s="877">
        <f>'[2]Reporte mensual'!AB53</f>
        <v>0.2</v>
      </c>
      <c r="Q52" s="877">
        <f>'[2]Reporte mensual'!AE53</f>
        <v>0.2</v>
      </c>
      <c r="R52" s="877">
        <f>'[2]Reporte mensual'!AH53</f>
        <v>0</v>
      </c>
      <c r="S52" s="877">
        <f>'[2]Reporte mensual'!AK53</f>
        <v>0.2</v>
      </c>
      <c r="T52" s="877">
        <f>'[2]Reporte mensual'!AN53</f>
        <v>0.2</v>
      </c>
      <c r="U52" s="878">
        <f>'[2]Reporte mensual'!AQ53</f>
        <v>0</v>
      </c>
      <c r="V52" s="327">
        <f t="shared" si="2"/>
        <v>1</v>
      </c>
    </row>
    <row r="53" spans="1:22" ht="73.5" customHeight="1" x14ac:dyDescent="0.25">
      <c r="A53" s="99" t="s">
        <v>473</v>
      </c>
      <c r="B53" s="100" t="s">
        <v>466</v>
      </c>
      <c r="C53" s="100" t="s">
        <v>469</v>
      </c>
      <c r="D53" s="101" t="s">
        <v>470</v>
      </c>
      <c r="E53" s="102" t="s">
        <v>471</v>
      </c>
      <c r="F53" s="324">
        <v>1</v>
      </c>
      <c r="G53" s="325">
        <v>44228</v>
      </c>
      <c r="H53" s="326">
        <v>44530</v>
      </c>
      <c r="I53" s="490">
        <v>2.3E-2</v>
      </c>
      <c r="J53" s="879">
        <f>'[2]Reporte mensual'!J54</f>
        <v>0</v>
      </c>
      <c r="K53" s="880">
        <f>'[2]Reporte mensual'!M54</f>
        <v>0</v>
      </c>
      <c r="L53" s="880">
        <f>'[2]Reporte mensual'!P54</f>
        <v>0.2</v>
      </c>
      <c r="M53" s="880">
        <f>'[2]Reporte mensual'!S54</f>
        <v>0.2</v>
      </c>
      <c r="N53" s="880">
        <f>'[2]Reporte mensual'!V54</f>
        <v>0.12</v>
      </c>
      <c r="O53" s="880">
        <f>'[2]Reporte mensual'!Y54</f>
        <v>0.12</v>
      </c>
      <c r="P53" s="880">
        <f>'[2]Reporte mensual'!AB54</f>
        <v>7.1999999999999995E-2</v>
      </c>
      <c r="Q53" s="880">
        <f>'[2]Reporte mensual'!AE54</f>
        <v>7.1999999999999995E-2</v>
      </c>
      <c r="R53" s="880">
        <f>'[2]Reporte mensual'!AH54</f>
        <v>7.1999999999999995E-2</v>
      </c>
      <c r="S53" s="880">
        <f>'[2]Reporte mensual'!AK54</f>
        <v>4.8000000000000001E-2</v>
      </c>
      <c r="T53" s="880">
        <f>'[2]Reporte mensual'!AN54</f>
        <v>4.8000000000000001E-2</v>
      </c>
      <c r="U53" s="881">
        <f>'[2]Reporte mensual'!AQ54</f>
        <v>4.8000000000000001E-2</v>
      </c>
      <c r="V53" s="336">
        <f t="shared" si="2"/>
        <v>1</v>
      </c>
    </row>
    <row r="54" spans="1:22" ht="72.75" customHeight="1" x14ac:dyDescent="0.25">
      <c r="A54" s="99" t="s">
        <v>754</v>
      </c>
      <c r="B54" s="100" t="s">
        <v>466</v>
      </c>
      <c r="C54" s="100" t="s">
        <v>755</v>
      </c>
      <c r="D54" s="101" t="s">
        <v>467</v>
      </c>
      <c r="E54" s="102" t="s">
        <v>413</v>
      </c>
      <c r="F54" s="324">
        <v>1</v>
      </c>
      <c r="G54" s="325">
        <v>44228</v>
      </c>
      <c r="H54" s="326">
        <v>44561</v>
      </c>
      <c r="I54" s="490">
        <v>2.3E-2</v>
      </c>
      <c r="J54" s="876">
        <f>'[2]Reporte mensual'!J55</f>
        <v>0</v>
      </c>
      <c r="K54" s="877">
        <f>'[2]Reporte mensual'!M55</f>
        <v>0</v>
      </c>
      <c r="L54" s="877">
        <f>'[2]Reporte mensual'!P55</f>
        <v>0</v>
      </c>
      <c r="M54" s="877">
        <f>'[2]Reporte mensual'!S55</f>
        <v>0</v>
      </c>
      <c r="N54" s="877">
        <f>'[2]Reporte mensual'!V55</f>
        <v>0</v>
      </c>
      <c r="O54" s="877">
        <f>'[2]Reporte mensual'!Y55</f>
        <v>0.5</v>
      </c>
      <c r="P54" s="877">
        <f>'[2]Reporte mensual'!AB55</f>
        <v>0.5</v>
      </c>
      <c r="Q54" s="877">
        <f>'[2]Reporte mensual'!AE55</f>
        <v>0</v>
      </c>
      <c r="R54" s="877">
        <f>'[2]Reporte mensual'!AH55</f>
        <v>0</v>
      </c>
      <c r="S54" s="877">
        <f>'[2]Reporte mensual'!AK55</f>
        <v>0</v>
      </c>
      <c r="T54" s="877">
        <f>'[2]Reporte mensual'!AN55</f>
        <v>0</v>
      </c>
      <c r="U54" s="878">
        <f>'[2]Reporte mensual'!AQ55</f>
        <v>0</v>
      </c>
      <c r="V54" s="327">
        <f t="shared" si="2"/>
        <v>1</v>
      </c>
    </row>
    <row r="55" spans="1:22" ht="72.75" customHeight="1" thickBot="1" x14ac:dyDescent="0.3">
      <c r="A55" s="104" t="s">
        <v>756</v>
      </c>
      <c r="B55" s="105" t="s">
        <v>466</v>
      </c>
      <c r="C55" s="105" t="s">
        <v>757</v>
      </c>
      <c r="D55" s="106" t="s">
        <v>467</v>
      </c>
      <c r="E55" s="107" t="s">
        <v>758</v>
      </c>
      <c r="F55" s="337">
        <v>1</v>
      </c>
      <c r="G55" s="338">
        <v>44228</v>
      </c>
      <c r="H55" s="339">
        <v>44561</v>
      </c>
      <c r="I55" s="491">
        <v>2.3E-2</v>
      </c>
      <c r="J55" s="882">
        <f>'[2]Reporte mensual'!J56</f>
        <v>0</v>
      </c>
      <c r="K55" s="883">
        <f>'[2]Reporte mensual'!M56</f>
        <v>0</v>
      </c>
      <c r="L55" s="883">
        <f>'[2]Reporte mensual'!P56</f>
        <v>0</v>
      </c>
      <c r="M55" s="883">
        <f>'[2]Reporte mensual'!S56</f>
        <v>0</v>
      </c>
      <c r="N55" s="883">
        <f>'[2]Reporte mensual'!V56</f>
        <v>0</v>
      </c>
      <c r="O55" s="883">
        <f>'[2]Reporte mensual'!Y56</f>
        <v>0.5</v>
      </c>
      <c r="P55" s="883">
        <f>'[2]Reporte mensual'!AB56</f>
        <v>0.5</v>
      </c>
      <c r="Q55" s="883">
        <f>'[2]Reporte mensual'!AE56</f>
        <v>0</v>
      </c>
      <c r="R55" s="883">
        <f>'[2]Reporte mensual'!AH56</f>
        <v>0</v>
      </c>
      <c r="S55" s="883">
        <f>'[2]Reporte mensual'!AK56</f>
        <v>0</v>
      </c>
      <c r="T55" s="883">
        <f>'[2]Reporte mensual'!AN56</f>
        <v>0</v>
      </c>
      <c r="U55" s="884">
        <f>'[2]Reporte mensual'!AQ56</f>
        <v>0</v>
      </c>
      <c r="V55" s="340">
        <f t="shared" si="2"/>
        <v>1</v>
      </c>
    </row>
    <row r="56" spans="1:22" ht="11.25" customHeight="1" x14ac:dyDescent="0.25">
      <c r="A56" s="108"/>
      <c r="B56" s="109"/>
      <c r="C56" s="110"/>
      <c r="D56" s="110"/>
      <c r="E56" s="111"/>
      <c r="F56" s="111"/>
      <c r="G56" s="111"/>
      <c r="H56" s="111"/>
      <c r="I56" s="111"/>
    </row>
    <row r="57" spans="1:22" ht="11.25" customHeight="1" x14ac:dyDescent="0.25">
      <c r="A57" s="341"/>
      <c r="B57" s="342"/>
      <c r="J57" s="118"/>
      <c r="K57" s="118"/>
      <c r="L57" s="118"/>
      <c r="M57" s="118"/>
      <c r="N57" s="118"/>
      <c r="O57" s="118"/>
      <c r="P57" s="118"/>
      <c r="Q57" s="118"/>
      <c r="R57" s="118"/>
      <c r="S57" s="118"/>
      <c r="T57" s="118"/>
      <c r="U57" s="118"/>
      <c r="V57" s="118"/>
    </row>
    <row r="58" spans="1:22" ht="11.25" customHeight="1" x14ac:dyDescent="0.25">
      <c r="A58" s="341"/>
      <c r="B58" s="342"/>
      <c r="J58" s="118"/>
      <c r="K58" s="118"/>
      <c r="L58" s="118"/>
      <c r="M58" s="118"/>
      <c r="N58" s="118"/>
      <c r="O58" s="118"/>
      <c r="P58" s="118"/>
      <c r="Q58" s="118"/>
      <c r="R58" s="118"/>
      <c r="S58" s="118"/>
      <c r="T58" s="118"/>
      <c r="U58" s="118"/>
      <c r="V58" s="118"/>
    </row>
    <row r="59" spans="1:22" ht="11.25" customHeight="1" x14ac:dyDescent="0.25">
      <c r="A59" s="341"/>
      <c r="B59" s="342"/>
      <c r="J59" s="118"/>
      <c r="K59" s="118"/>
      <c r="L59" s="118"/>
      <c r="M59" s="118"/>
      <c r="N59" s="118"/>
      <c r="O59" s="118"/>
      <c r="P59" s="118"/>
      <c r="Q59" s="118"/>
      <c r="R59" s="118"/>
      <c r="S59" s="118"/>
      <c r="T59" s="118"/>
      <c r="U59" s="118"/>
      <c r="V59" s="118"/>
    </row>
    <row r="60" spans="1:22" ht="16.5" customHeight="1" x14ac:dyDescent="0.25">
      <c r="A60" s="341"/>
      <c r="B60" s="342"/>
      <c r="J60" s="118"/>
      <c r="K60" s="118"/>
      <c r="L60" s="118"/>
      <c r="M60" s="118"/>
      <c r="N60" s="118"/>
      <c r="O60" s="118"/>
      <c r="P60" s="118"/>
      <c r="Q60" s="118"/>
      <c r="R60" s="118"/>
      <c r="S60" s="118"/>
      <c r="T60" s="118"/>
      <c r="U60" s="118"/>
      <c r="V60" s="118"/>
    </row>
    <row r="61" spans="1:22" ht="12.75" hidden="1" customHeight="1" x14ac:dyDescent="0.25">
      <c r="A61" s="108"/>
      <c r="B61" s="109"/>
      <c r="C61" s="112"/>
      <c r="D61" s="112"/>
      <c r="E61" s="113"/>
      <c r="F61" s="113"/>
      <c r="G61" s="103"/>
      <c r="H61" s="103"/>
      <c r="I61" s="103"/>
    </row>
    <row r="62" spans="1:22" ht="12.75" hidden="1" customHeight="1" x14ac:dyDescent="0.25">
      <c r="A62" s="103"/>
      <c r="B62" s="95"/>
      <c r="C62" s="95"/>
      <c r="D62" s="95"/>
      <c r="E62" s="103"/>
      <c r="F62" s="103"/>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15"/>
      <c r="H77" s="115"/>
      <c r="I77" s="115"/>
    </row>
    <row r="78" spans="1:9" ht="12.75" hidden="1" customHeight="1" x14ac:dyDescent="0.25">
      <c r="A78" s="118"/>
      <c r="C78" s="116"/>
      <c r="D78" s="116"/>
      <c r="E78" s="115"/>
      <c r="F78" s="115"/>
      <c r="G78" s="115"/>
      <c r="H78" s="115"/>
      <c r="I78" s="115"/>
    </row>
    <row r="79" spans="1:9" ht="12.75" hidden="1" customHeight="1" x14ac:dyDescent="0.25">
      <c r="A79" s="118"/>
      <c r="C79" s="116"/>
      <c r="D79" s="116"/>
      <c r="E79" s="115"/>
      <c r="F79" s="115"/>
      <c r="G79" s="115"/>
      <c r="H79" s="115"/>
      <c r="I79" s="115"/>
    </row>
    <row r="80" spans="1:9" ht="12.75" hidden="1" customHeight="1" x14ac:dyDescent="0.25">
      <c r="A80" s="118"/>
      <c r="C80" s="116"/>
      <c r="D80" s="116"/>
      <c r="E80" s="115"/>
      <c r="F80" s="115"/>
      <c r="G80" s="115"/>
      <c r="H80" s="115"/>
      <c r="I80" s="115"/>
    </row>
    <row r="81" spans="1:9" ht="12.75" hidden="1" customHeight="1" x14ac:dyDescent="0.25">
      <c r="A81" s="118"/>
      <c r="C81" s="116"/>
      <c r="D81" s="116"/>
      <c r="E81" s="115"/>
      <c r="F81" s="115"/>
      <c r="G81" s="115"/>
      <c r="H81" s="115"/>
      <c r="I81" s="115"/>
    </row>
    <row r="82" spans="1:9" ht="12.75" hidden="1" customHeight="1" x14ac:dyDescent="0.25">
      <c r="A82" s="118"/>
      <c r="C82" s="116"/>
      <c r="D82" s="116"/>
      <c r="E82" s="115"/>
      <c r="F82" s="115"/>
      <c r="G82" s="115"/>
      <c r="H82" s="115"/>
      <c r="I82" s="115"/>
    </row>
    <row r="83" spans="1:9" ht="12.75" hidden="1" customHeight="1" x14ac:dyDescent="0.25">
      <c r="A83" s="118"/>
      <c r="C83" s="116"/>
      <c r="D83" s="116"/>
      <c r="E83" s="115"/>
      <c r="F83" s="115"/>
      <c r="G83" s="115"/>
      <c r="H83" s="115"/>
      <c r="I83" s="115"/>
    </row>
    <row r="84" spans="1:9" ht="12.75" hidden="1" customHeight="1" x14ac:dyDescent="0.25">
      <c r="A84" s="118"/>
      <c r="C84" s="116"/>
      <c r="D84" s="116"/>
      <c r="E84" s="115"/>
      <c r="F84" s="115"/>
      <c r="G84" s="115"/>
      <c r="H84" s="115"/>
      <c r="I84" s="115"/>
    </row>
    <row r="85" spans="1:9" ht="12.75" hidden="1" customHeight="1" x14ac:dyDescent="0.25">
      <c r="A85" s="118"/>
      <c r="C85" s="116"/>
      <c r="D85" s="116"/>
      <c r="E85" s="115"/>
      <c r="F85" s="115"/>
      <c r="G85" s="115"/>
      <c r="H85" s="115"/>
      <c r="I85" s="115"/>
    </row>
    <row r="86" spans="1:9" ht="12.75" hidden="1" customHeight="1" x14ac:dyDescent="0.25">
      <c r="A86" s="118"/>
      <c r="C86" s="116"/>
      <c r="D86" s="116"/>
      <c r="E86" s="115"/>
      <c r="F86" s="115"/>
      <c r="G86" s="115"/>
      <c r="H86" s="115"/>
      <c r="I86" s="115"/>
    </row>
    <row r="87" spans="1:9" ht="12.75" hidden="1" customHeight="1" x14ac:dyDescent="0.25">
      <c r="A87" s="118"/>
      <c r="C87" s="116"/>
      <c r="D87" s="116"/>
      <c r="E87" s="115"/>
      <c r="F87" s="115"/>
      <c r="G87" s="115"/>
      <c r="H87" s="115"/>
      <c r="I87" s="115"/>
    </row>
    <row r="88" spans="1:9" ht="12.75" hidden="1" customHeight="1" x14ac:dyDescent="0.25">
      <c r="A88" s="118"/>
      <c r="C88" s="116"/>
      <c r="D88" s="116"/>
      <c r="E88" s="115"/>
      <c r="F88" s="115"/>
      <c r="G88" s="115"/>
      <c r="H88" s="115"/>
      <c r="I88" s="115"/>
    </row>
    <row r="89" spans="1:9" ht="12.75" hidden="1" customHeight="1" x14ac:dyDescent="0.25">
      <c r="A89" s="118"/>
      <c r="C89" s="116"/>
      <c r="D89" s="116"/>
      <c r="E89" s="115"/>
      <c r="F89" s="115"/>
      <c r="G89" s="115"/>
      <c r="H89" s="115"/>
      <c r="I89" s="115"/>
    </row>
    <row r="90" spans="1:9" ht="12.75" hidden="1" customHeight="1" x14ac:dyDescent="0.25">
      <c r="A90" s="118"/>
      <c r="C90" s="116"/>
      <c r="D90" s="116"/>
      <c r="E90" s="115"/>
      <c r="F90" s="115"/>
      <c r="G90" s="115"/>
      <c r="H90" s="115"/>
      <c r="I90" s="115"/>
    </row>
    <row r="91" spans="1:9" ht="0" hidden="1" customHeight="1" x14ac:dyDescent="0.25">
      <c r="A91" s="118"/>
      <c r="C91" s="116"/>
      <c r="D91" s="116"/>
      <c r="E91" s="115"/>
      <c r="F91" s="115"/>
    </row>
  </sheetData>
  <autoFilter ref="A10:V55" xr:uid="{00000000-0009-0000-0000-000000000000}"/>
  <mergeCells count="24">
    <mergeCell ref="B49:C49"/>
    <mergeCell ref="B13:C13"/>
    <mergeCell ref="B20:C20"/>
    <mergeCell ref="B26:C26"/>
    <mergeCell ref="B37:C37"/>
    <mergeCell ref="B40:C40"/>
    <mergeCell ref="B45:C45"/>
    <mergeCell ref="A8:H8"/>
    <mergeCell ref="J8:U8"/>
    <mergeCell ref="V8:V9"/>
    <mergeCell ref="A9:A10"/>
    <mergeCell ref="B9:B10"/>
    <mergeCell ref="C9:C10"/>
    <mergeCell ref="D9:D10"/>
    <mergeCell ref="E9:E10"/>
    <mergeCell ref="F9:F10"/>
    <mergeCell ref="G9:H9"/>
    <mergeCell ref="A1:H2"/>
    <mergeCell ref="A4:C4"/>
    <mergeCell ref="D4:H4"/>
    <mergeCell ref="A5:B5"/>
    <mergeCell ref="C5:H5"/>
    <mergeCell ref="A6:B6"/>
    <mergeCell ref="C6:H6"/>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6"/>
  <sheetViews>
    <sheetView zoomScale="80" zoomScaleNormal="80" workbookViewId="0"/>
  </sheetViews>
  <sheetFormatPr baseColWidth="10" defaultColWidth="0"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1.42578125" style="123" customWidth="1"/>
    <col min="7" max="8" width="13.42578125" style="123" customWidth="1"/>
    <col min="9" max="9" width="13.7109375" style="123" customWidth="1"/>
    <col min="10" max="10" width="58.42578125" style="174" customWidth="1"/>
    <col min="11" max="11" width="4.28515625" style="119" customWidth="1"/>
    <col min="12" max="12" width="0" style="123" hidden="1" customWidth="1"/>
    <col min="13"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798" t="s">
        <v>476</v>
      </c>
      <c r="D2" s="798"/>
      <c r="E2" s="798"/>
      <c r="F2" s="798"/>
      <c r="G2" s="798"/>
      <c r="H2" s="798"/>
      <c r="I2" s="798"/>
      <c r="J2" s="798"/>
    </row>
    <row r="3" spans="1:11" ht="18.75" customHeight="1" x14ac:dyDescent="0.25">
      <c r="B3" s="124"/>
      <c r="C3" s="125"/>
      <c r="D3" s="126"/>
      <c r="E3" s="125"/>
      <c r="F3" s="127"/>
      <c r="G3" s="128"/>
      <c r="H3" s="129"/>
      <c r="I3" s="129"/>
      <c r="J3" s="130"/>
    </row>
    <row r="4" spans="1:11" ht="29.25" customHeight="1" x14ac:dyDescent="0.25">
      <c r="B4" s="124"/>
      <c r="C4" s="131" t="s">
        <v>477</v>
      </c>
      <c r="D4" s="799" t="s">
        <v>478</v>
      </c>
      <c r="E4" s="799"/>
      <c r="F4" s="799"/>
      <c r="G4" s="799"/>
      <c r="H4" s="799"/>
      <c r="I4" s="799"/>
      <c r="J4" s="799"/>
    </row>
    <row r="5" spans="1:11" ht="6.75" customHeight="1" x14ac:dyDescent="0.25">
      <c r="B5" s="124"/>
      <c r="C5" s="132"/>
      <c r="D5" s="133"/>
      <c r="E5" s="125"/>
      <c r="F5" s="134"/>
      <c r="G5" s="134"/>
      <c r="H5" s="134"/>
      <c r="I5" s="134"/>
      <c r="J5" s="130"/>
    </row>
    <row r="6" spans="1:11" ht="17.25" customHeight="1" x14ac:dyDescent="0.25">
      <c r="B6" s="124"/>
      <c r="C6" s="131" t="s">
        <v>479</v>
      </c>
      <c r="D6" s="799">
        <v>1</v>
      </c>
      <c r="E6" s="799"/>
      <c r="F6" s="799"/>
      <c r="G6" s="799"/>
      <c r="H6" s="799"/>
      <c r="I6" s="135"/>
      <c r="J6" s="135"/>
    </row>
    <row r="7" spans="1:11" ht="8.25" customHeight="1" x14ac:dyDescent="0.25">
      <c r="B7" s="124"/>
      <c r="C7" s="136"/>
      <c r="D7" s="136"/>
      <c r="E7" s="136"/>
      <c r="F7" s="137"/>
      <c r="G7" s="137"/>
      <c r="H7" s="137"/>
      <c r="I7" s="137"/>
      <c r="J7" s="130"/>
    </row>
    <row r="8" spans="1:11" ht="18" customHeight="1" x14ac:dyDescent="0.25">
      <c r="B8" s="124"/>
      <c r="C8" s="131" t="s">
        <v>480</v>
      </c>
      <c r="D8" s="800">
        <v>44225</v>
      </c>
      <c r="E8" s="799"/>
      <c r="F8" s="799"/>
      <c r="G8" s="799"/>
      <c r="H8" s="799"/>
      <c r="I8" s="135"/>
      <c r="J8" s="135"/>
    </row>
    <row r="9" spans="1:11" ht="8.25" customHeight="1" thickBot="1" x14ac:dyDescent="0.3">
      <c r="B9" s="124"/>
      <c r="C9" s="138"/>
      <c r="D9" s="138"/>
      <c r="E9" s="138"/>
      <c r="F9" s="139"/>
      <c r="G9" s="139"/>
      <c r="H9" s="139"/>
      <c r="I9" s="139"/>
      <c r="J9" s="140"/>
    </row>
    <row r="10" spans="1:11" ht="18" customHeight="1" x14ac:dyDescent="0.25">
      <c r="B10" s="801" t="s">
        <v>357</v>
      </c>
      <c r="C10" s="802"/>
      <c r="D10" s="802"/>
      <c r="E10" s="802"/>
      <c r="F10" s="802"/>
      <c r="G10" s="802"/>
      <c r="H10" s="802"/>
      <c r="I10" s="802"/>
      <c r="J10" s="803"/>
    </row>
    <row r="11" spans="1:11" ht="18" customHeight="1" x14ac:dyDescent="0.25">
      <c r="B11" s="815" t="s">
        <v>358</v>
      </c>
      <c r="C11" s="805" t="s">
        <v>360</v>
      </c>
      <c r="D11" s="805" t="s">
        <v>361</v>
      </c>
      <c r="E11" s="805" t="s">
        <v>362</v>
      </c>
      <c r="F11" s="805" t="s">
        <v>363</v>
      </c>
      <c r="G11" s="805" t="s">
        <v>364</v>
      </c>
      <c r="H11" s="805"/>
      <c r="I11" s="247" t="s">
        <v>365</v>
      </c>
      <c r="J11" s="806" t="s">
        <v>29</v>
      </c>
    </row>
    <row r="12" spans="1:11" s="142" customFormat="1" ht="18" customHeight="1" thickBot="1" x14ac:dyDescent="0.3">
      <c r="A12" s="141"/>
      <c r="B12" s="816"/>
      <c r="C12" s="817"/>
      <c r="D12" s="817"/>
      <c r="E12" s="817"/>
      <c r="F12" s="817"/>
      <c r="G12" s="248" t="s">
        <v>366</v>
      </c>
      <c r="H12" s="248" t="s">
        <v>367</v>
      </c>
      <c r="I12" s="258">
        <f>SUM(I13:I15)</f>
        <v>1</v>
      </c>
      <c r="J12" s="807"/>
      <c r="K12" s="141"/>
    </row>
    <row r="13" spans="1:11" s="142" customFormat="1" ht="60.75" customHeight="1" x14ac:dyDescent="0.25">
      <c r="A13" s="141"/>
      <c r="B13" s="143">
        <v>1</v>
      </c>
      <c r="C13" s="144" t="s">
        <v>481</v>
      </c>
      <c r="D13" s="144" t="s">
        <v>482</v>
      </c>
      <c r="E13" s="144" t="s">
        <v>483</v>
      </c>
      <c r="F13" s="145">
        <v>0.9</v>
      </c>
      <c r="G13" s="146">
        <v>44228</v>
      </c>
      <c r="H13" s="146">
        <v>44561</v>
      </c>
      <c r="I13" s="145">
        <v>0.5</v>
      </c>
      <c r="J13" s="147" t="s">
        <v>484</v>
      </c>
      <c r="K13" s="141"/>
    </row>
    <row r="14" spans="1:11" s="142" customFormat="1" ht="60.75" customHeight="1" x14ac:dyDescent="0.25">
      <c r="A14" s="141"/>
      <c r="B14" s="148">
        <v>2</v>
      </c>
      <c r="C14" s="149" t="s">
        <v>485</v>
      </c>
      <c r="D14" s="150" t="s">
        <v>482</v>
      </c>
      <c r="E14" s="150" t="s">
        <v>483</v>
      </c>
      <c r="F14" s="151">
        <v>0.9</v>
      </c>
      <c r="G14" s="152">
        <v>44228</v>
      </c>
      <c r="H14" s="152">
        <v>44561</v>
      </c>
      <c r="I14" s="151">
        <v>0.5</v>
      </c>
      <c r="J14" s="153" t="s">
        <v>484</v>
      </c>
      <c r="K14" s="141"/>
    </row>
    <row r="15" spans="1:11" s="142" customFormat="1" ht="22.5" customHeight="1" thickBot="1" x14ac:dyDescent="0.3">
      <c r="A15" s="141"/>
      <c r="B15" s="154"/>
      <c r="C15" s="155"/>
      <c r="D15" s="156"/>
      <c r="E15" s="157"/>
      <c r="F15" s="157"/>
      <c r="G15" s="158"/>
      <c r="H15" s="158"/>
      <c r="I15" s="159"/>
      <c r="J15" s="160"/>
      <c r="K15" s="141"/>
    </row>
    <row r="16" spans="1:11" s="142" customFormat="1" ht="33" customHeight="1" thickBot="1" x14ac:dyDescent="0.3">
      <c r="A16" s="141"/>
      <c r="B16" s="808" t="s">
        <v>486</v>
      </c>
      <c r="C16" s="808"/>
      <c r="D16" s="808"/>
      <c r="E16" s="808"/>
      <c r="F16" s="808"/>
      <c r="G16" s="808"/>
      <c r="H16" s="808"/>
      <c r="I16" s="808"/>
      <c r="J16" s="808"/>
      <c r="K16" s="141"/>
    </row>
    <row r="17" spans="1:11" s="142" customFormat="1" ht="21.75" customHeight="1" x14ac:dyDescent="0.25">
      <c r="A17" s="141"/>
      <c r="B17" s="161"/>
      <c r="C17" s="809" t="s">
        <v>487</v>
      </c>
      <c r="D17" s="810"/>
      <c r="E17" s="810"/>
      <c r="F17" s="811"/>
      <c r="G17" s="162"/>
      <c r="H17" s="162"/>
      <c r="I17" s="162"/>
      <c r="J17" s="163"/>
      <c r="K17" s="141"/>
    </row>
    <row r="18" spans="1:11" s="142" customFormat="1" ht="21.75" customHeight="1" x14ac:dyDescent="0.25">
      <c r="A18" s="141"/>
      <c r="B18" s="161"/>
      <c r="C18" s="249" t="s">
        <v>355</v>
      </c>
      <c r="D18" s="812" t="s">
        <v>488</v>
      </c>
      <c r="E18" s="812"/>
      <c r="F18" s="250" t="s">
        <v>489</v>
      </c>
      <c r="G18" s="162"/>
      <c r="H18" s="162"/>
      <c r="I18" s="162"/>
      <c r="J18" s="163"/>
      <c r="K18" s="141"/>
    </row>
    <row r="19" spans="1:11" s="142" customFormat="1" ht="28.5" customHeight="1" x14ac:dyDescent="0.2">
      <c r="A19" s="141"/>
      <c r="B19" s="161"/>
      <c r="C19" s="164">
        <v>1</v>
      </c>
      <c r="D19" s="813" t="s">
        <v>490</v>
      </c>
      <c r="E19" s="814"/>
      <c r="F19" s="165">
        <v>44225</v>
      </c>
      <c r="G19" s="162"/>
      <c r="H19" s="162"/>
      <c r="I19" s="162"/>
      <c r="J19" s="163"/>
      <c r="K19" s="141"/>
    </row>
    <row r="20" spans="1:11" s="142" customFormat="1" ht="28.5" customHeight="1" thickBot="1" x14ac:dyDescent="0.3">
      <c r="A20" s="141"/>
      <c r="B20" s="161"/>
      <c r="C20" s="166"/>
      <c r="D20" s="804"/>
      <c r="E20" s="804"/>
      <c r="F20" s="167"/>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hidden="1" customHeight="1" x14ac:dyDescent="0.25">
      <c r="A22" s="141"/>
      <c r="B22" s="161"/>
      <c r="C22" s="168"/>
      <c r="D22" s="168"/>
      <c r="E22" s="161"/>
      <c r="F22" s="161"/>
      <c r="G22" s="162"/>
      <c r="H22" s="162"/>
      <c r="I22" s="162"/>
      <c r="J22" s="163"/>
      <c r="K22" s="141"/>
    </row>
    <row r="23" spans="1:11" s="142" customFormat="1" ht="33" hidden="1" customHeight="1" x14ac:dyDescent="0.25">
      <c r="A23" s="141"/>
      <c r="B23" s="161"/>
      <c r="C23" s="168"/>
      <c r="D23" s="168"/>
      <c r="E23" s="161"/>
      <c r="F23" s="161"/>
      <c r="G23" s="162"/>
      <c r="H23" s="162"/>
      <c r="I23" s="162"/>
      <c r="J23" s="163"/>
      <c r="K23" s="141"/>
    </row>
    <row r="24" spans="1:11" s="142" customFormat="1" ht="33" hidden="1" customHeight="1" x14ac:dyDescent="0.25">
      <c r="A24" s="141"/>
      <c r="B24" s="161"/>
      <c r="C24" s="168"/>
      <c r="D24" s="168"/>
      <c r="E24" s="161"/>
      <c r="F24" s="161"/>
      <c r="G24" s="162"/>
      <c r="H24" s="162"/>
      <c r="I24" s="162"/>
      <c r="J24" s="163"/>
      <c r="K24" s="141"/>
    </row>
    <row r="25" spans="1:11" s="142" customFormat="1" ht="6.75" hidden="1" customHeight="1" x14ac:dyDescent="0.25">
      <c r="A25" s="141"/>
      <c r="B25" s="169"/>
      <c r="C25" s="163"/>
      <c r="D25" s="163"/>
      <c r="E25" s="161"/>
      <c r="F25" s="161"/>
      <c r="G25" s="169"/>
      <c r="H25" s="169"/>
      <c r="I25" s="169"/>
      <c r="J25" s="163"/>
      <c r="K25" s="141"/>
    </row>
    <row r="26" spans="1:11" ht="42.75" hidden="1" customHeight="1" x14ac:dyDescent="0.25">
      <c r="B26" s="170"/>
      <c r="C26" s="171"/>
      <c r="D26" s="171"/>
      <c r="E26" s="172"/>
      <c r="F26" s="173"/>
      <c r="G26" s="142"/>
      <c r="H26" s="142"/>
      <c r="I26" s="142"/>
    </row>
    <row r="27" spans="1:11" ht="16.5" hidden="1" customHeight="1" x14ac:dyDescent="0.25">
      <c r="C27" s="123"/>
      <c r="D27" s="123"/>
      <c r="E27" s="123"/>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9"/>
  <sheetViews>
    <sheetView zoomScale="80" zoomScaleNormal="80" workbookViewId="0"/>
  </sheetViews>
  <sheetFormatPr baseColWidth="10" defaultColWidth="0"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4.5703125" style="123" customWidth="1"/>
    <col min="10" max="10" width="56.42578125" style="174" customWidth="1"/>
    <col min="11" max="11" width="4.28515625" style="119" customWidth="1"/>
    <col min="12" max="12" width="0" style="123" hidden="1" customWidth="1"/>
    <col min="13"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798" t="s">
        <v>491</v>
      </c>
      <c r="D2" s="798"/>
      <c r="E2" s="798"/>
      <c r="F2" s="798"/>
      <c r="G2" s="798"/>
      <c r="H2" s="798"/>
      <c r="I2" s="798"/>
      <c r="J2" s="798"/>
    </row>
    <row r="3" spans="1:11" ht="18.75" customHeight="1" x14ac:dyDescent="0.25">
      <c r="B3" s="124"/>
      <c r="C3" s="125"/>
      <c r="D3" s="126"/>
      <c r="E3" s="125"/>
      <c r="F3" s="127"/>
      <c r="G3" s="128"/>
      <c r="H3" s="129"/>
      <c r="I3" s="129"/>
      <c r="J3" s="130"/>
    </row>
    <row r="4" spans="1:11" ht="29.25" customHeight="1" x14ac:dyDescent="0.25">
      <c r="B4" s="124"/>
      <c r="C4" s="131" t="s">
        <v>477</v>
      </c>
      <c r="D4" s="799" t="s">
        <v>492</v>
      </c>
      <c r="E4" s="799"/>
      <c r="F4" s="799"/>
      <c r="G4" s="799"/>
      <c r="H4" s="799"/>
      <c r="I4" s="799"/>
      <c r="J4" s="799"/>
    </row>
    <row r="5" spans="1:11" ht="6.75" customHeight="1" x14ac:dyDescent="0.25">
      <c r="B5" s="124"/>
      <c r="C5" s="132"/>
      <c r="D5" s="133"/>
      <c r="E5" s="125"/>
      <c r="F5" s="134"/>
      <c r="G5" s="134"/>
      <c r="H5" s="134"/>
      <c r="I5" s="134"/>
      <c r="J5" s="130"/>
    </row>
    <row r="6" spans="1:11" ht="17.25" customHeight="1" x14ac:dyDescent="0.25">
      <c r="B6" s="124"/>
      <c r="C6" s="131" t="s">
        <v>479</v>
      </c>
      <c r="D6" s="799">
        <v>1</v>
      </c>
      <c r="E6" s="799"/>
      <c r="F6" s="799"/>
      <c r="G6" s="799"/>
      <c r="H6" s="799"/>
      <c r="I6" s="135"/>
      <c r="J6" s="135"/>
    </row>
    <row r="7" spans="1:11" ht="8.25" customHeight="1" x14ac:dyDescent="0.25">
      <c r="B7" s="124"/>
      <c r="C7" s="136"/>
      <c r="D7" s="136"/>
      <c r="E7" s="136"/>
      <c r="F7" s="137"/>
      <c r="G7" s="137"/>
      <c r="H7" s="137"/>
      <c r="I7" s="137"/>
      <c r="J7" s="130"/>
    </row>
    <row r="8" spans="1:11" ht="18" customHeight="1" x14ac:dyDescent="0.25">
      <c r="B8" s="124"/>
      <c r="C8" s="131" t="s">
        <v>480</v>
      </c>
      <c r="D8" s="800">
        <v>44225</v>
      </c>
      <c r="E8" s="799"/>
      <c r="F8" s="799"/>
      <c r="G8" s="799"/>
      <c r="H8" s="799"/>
      <c r="I8" s="135"/>
      <c r="J8" s="135"/>
    </row>
    <row r="9" spans="1:11" ht="8.25" customHeight="1" thickBot="1" x14ac:dyDescent="0.3">
      <c r="B9" s="124"/>
      <c r="C9" s="138"/>
      <c r="D9" s="138"/>
      <c r="E9" s="138"/>
      <c r="F9" s="139"/>
      <c r="G9" s="139"/>
      <c r="H9" s="139"/>
      <c r="I9" s="139"/>
      <c r="J9" s="140"/>
    </row>
    <row r="10" spans="1:11" ht="18" customHeight="1" x14ac:dyDescent="0.25">
      <c r="B10" s="795" t="s">
        <v>357</v>
      </c>
      <c r="C10" s="818"/>
      <c r="D10" s="818"/>
      <c r="E10" s="818"/>
      <c r="F10" s="818"/>
      <c r="G10" s="818"/>
      <c r="H10" s="818"/>
      <c r="I10" s="818"/>
      <c r="J10" s="796"/>
    </row>
    <row r="11" spans="1:11" ht="18" customHeight="1" x14ac:dyDescent="0.25">
      <c r="B11" s="815" t="s">
        <v>358</v>
      </c>
      <c r="C11" s="805" t="s">
        <v>360</v>
      </c>
      <c r="D11" s="805" t="s">
        <v>361</v>
      </c>
      <c r="E11" s="805" t="s">
        <v>362</v>
      </c>
      <c r="F11" s="805" t="s">
        <v>363</v>
      </c>
      <c r="G11" s="805" t="s">
        <v>364</v>
      </c>
      <c r="H11" s="805"/>
      <c r="I11" s="251" t="s">
        <v>365</v>
      </c>
      <c r="J11" s="806" t="s">
        <v>29</v>
      </c>
    </row>
    <row r="12" spans="1:11" s="142" customFormat="1" ht="18" customHeight="1" thickBot="1" x14ac:dyDescent="0.3">
      <c r="A12" s="141"/>
      <c r="B12" s="816"/>
      <c r="C12" s="817"/>
      <c r="D12" s="817"/>
      <c r="E12" s="817"/>
      <c r="F12" s="817"/>
      <c r="G12" s="248" t="s">
        <v>366</v>
      </c>
      <c r="H12" s="248" t="s">
        <v>367</v>
      </c>
      <c r="I12" s="258">
        <f>SUM(I13:I18)</f>
        <v>1</v>
      </c>
      <c r="J12" s="807"/>
      <c r="K12" s="141"/>
    </row>
    <row r="13" spans="1:11" s="142" customFormat="1" ht="42" customHeight="1" x14ac:dyDescent="0.25">
      <c r="A13" s="141"/>
      <c r="B13" s="143">
        <v>1</v>
      </c>
      <c r="C13" s="177" t="s">
        <v>493</v>
      </c>
      <c r="D13" s="177" t="s">
        <v>482</v>
      </c>
      <c r="E13" s="144" t="s">
        <v>494</v>
      </c>
      <c r="F13" s="145">
        <v>1</v>
      </c>
      <c r="G13" s="146">
        <v>44228</v>
      </c>
      <c r="H13" s="146">
        <v>44560</v>
      </c>
      <c r="I13" s="145">
        <v>0.2</v>
      </c>
      <c r="J13" s="178" t="s">
        <v>495</v>
      </c>
      <c r="K13" s="141"/>
    </row>
    <row r="14" spans="1:11" s="142" customFormat="1" ht="42" customHeight="1" x14ac:dyDescent="0.25">
      <c r="A14" s="141"/>
      <c r="B14" s="148">
        <v>2</v>
      </c>
      <c r="C14" s="179" t="s">
        <v>496</v>
      </c>
      <c r="D14" s="180" t="s">
        <v>482</v>
      </c>
      <c r="E14" s="150" t="s">
        <v>494</v>
      </c>
      <c r="F14" s="151">
        <v>1</v>
      </c>
      <c r="G14" s="152">
        <v>44228</v>
      </c>
      <c r="H14" s="152">
        <v>44560</v>
      </c>
      <c r="I14" s="151">
        <v>0.2</v>
      </c>
      <c r="J14" s="181" t="s">
        <v>495</v>
      </c>
      <c r="K14" s="141"/>
    </row>
    <row r="15" spans="1:11" s="142" customFormat="1" ht="42" customHeight="1" x14ac:dyDescent="0.25">
      <c r="A15" s="141"/>
      <c r="B15" s="148">
        <v>3</v>
      </c>
      <c r="C15" s="179" t="s">
        <v>497</v>
      </c>
      <c r="D15" s="180" t="s">
        <v>482</v>
      </c>
      <c r="E15" s="150" t="s">
        <v>494</v>
      </c>
      <c r="F15" s="151">
        <v>1</v>
      </c>
      <c r="G15" s="152">
        <v>44228</v>
      </c>
      <c r="H15" s="152">
        <v>44560</v>
      </c>
      <c r="I15" s="151">
        <v>0.2</v>
      </c>
      <c r="J15" s="181" t="s">
        <v>495</v>
      </c>
      <c r="K15" s="141"/>
    </row>
    <row r="16" spans="1:11" s="142" customFormat="1" ht="42" customHeight="1" x14ac:dyDescent="0.25">
      <c r="A16" s="141"/>
      <c r="B16" s="148">
        <v>4</v>
      </c>
      <c r="C16" s="179" t="s">
        <v>498</v>
      </c>
      <c r="D16" s="180" t="s">
        <v>482</v>
      </c>
      <c r="E16" s="150" t="s">
        <v>494</v>
      </c>
      <c r="F16" s="151">
        <v>1</v>
      </c>
      <c r="G16" s="152">
        <v>44228</v>
      </c>
      <c r="H16" s="152">
        <v>44560</v>
      </c>
      <c r="I16" s="151">
        <v>0.2</v>
      </c>
      <c r="J16" s="181" t="s">
        <v>495</v>
      </c>
      <c r="K16" s="141"/>
    </row>
    <row r="17" spans="1:11" s="142" customFormat="1" ht="42" customHeight="1" x14ac:dyDescent="0.25">
      <c r="A17" s="141"/>
      <c r="B17" s="148">
        <v>5</v>
      </c>
      <c r="C17" s="179" t="s">
        <v>499</v>
      </c>
      <c r="D17" s="180" t="s">
        <v>482</v>
      </c>
      <c r="E17" s="150" t="s">
        <v>494</v>
      </c>
      <c r="F17" s="151">
        <v>1</v>
      </c>
      <c r="G17" s="152">
        <v>44228</v>
      </c>
      <c r="H17" s="152">
        <v>44560</v>
      </c>
      <c r="I17" s="151">
        <v>0.2</v>
      </c>
      <c r="J17" s="181" t="s">
        <v>495</v>
      </c>
      <c r="K17" s="141"/>
    </row>
    <row r="18" spans="1:11" s="142" customFormat="1" ht="15" customHeight="1" thickBot="1" x14ac:dyDescent="0.3">
      <c r="A18" s="141"/>
      <c r="B18" s="154"/>
      <c r="C18" s="155"/>
      <c r="D18" s="156"/>
      <c r="E18" s="157"/>
      <c r="F18" s="159"/>
      <c r="G18" s="158"/>
      <c r="H18" s="158"/>
      <c r="I18" s="159"/>
      <c r="J18" s="160"/>
      <c r="K18" s="141"/>
    </row>
    <row r="19" spans="1:11" s="142" customFormat="1" ht="33" customHeight="1" thickBot="1" x14ac:dyDescent="0.3">
      <c r="A19" s="141"/>
      <c r="B19" s="808" t="s">
        <v>486</v>
      </c>
      <c r="C19" s="808"/>
      <c r="D19" s="808"/>
      <c r="E19" s="808"/>
      <c r="F19" s="808"/>
      <c r="G19" s="808"/>
      <c r="H19" s="808"/>
      <c r="I19" s="808"/>
      <c r="J19" s="808"/>
      <c r="K19" s="141"/>
    </row>
    <row r="20" spans="1:11" s="142" customFormat="1" ht="21.75" customHeight="1" x14ac:dyDescent="0.25">
      <c r="A20" s="141"/>
      <c r="B20" s="161"/>
      <c r="C20" s="809" t="s">
        <v>487</v>
      </c>
      <c r="D20" s="810"/>
      <c r="E20" s="810"/>
      <c r="F20" s="811"/>
      <c r="G20" s="162"/>
      <c r="H20" s="162"/>
      <c r="I20" s="162"/>
      <c r="J20" s="163"/>
      <c r="K20" s="141"/>
    </row>
    <row r="21" spans="1:11" s="142" customFormat="1" ht="21.75" customHeight="1" x14ac:dyDescent="0.25">
      <c r="A21" s="141"/>
      <c r="B21" s="161"/>
      <c r="C21" s="249" t="s">
        <v>355</v>
      </c>
      <c r="D21" s="812" t="s">
        <v>488</v>
      </c>
      <c r="E21" s="812"/>
      <c r="F21" s="250" t="s">
        <v>489</v>
      </c>
      <c r="G21" s="162"/>
      <c r="H21" s="162"/>
      <c r="I21" s="162"/>
      <c r="J21" s="163"/>
      <c r="K21" s="141"/>
    </row>
    <row r="22" spans="1:11" s="142" customFormat="1" ht="28.5" customHeight="1" x14ac:dyDescent="0.2">
      <c r="A22" s="141"/>
      <c r="B22" s="161"/>
      <c r="C22" s="164">
        <v>1</v>
      </c>
      <c r="D22" s="813" t="s">
        <v>490</v>
      </c>
      <c r="E22" s="814"/>
      <c r="F22" s="165">
        <v>44225</v>
      </c>
      <c r="G22" s="162"/>
      <c r="H22" s="162"/>
      <c r="I22" s="162"/>
      <c r="J22" s="163"/>
      <c r="K22" s="141"/>
    </row>
    <row r="23" spans="1:11" s="142" customFormat="1" ht="28.5" customHeight="1" thickBot="1" x14ac:dyDescent="0.3">
      <c r="A23" s="141"/>
      <c r="B23" s="161"/>
      <c r="C23" s="166"/>
      <c r="D23" s="804"/>
      <c r="E23" s="804"/>
      <c r="F23" s="167"/>
      <c r="G23" s="162"/>
      <c r="H23" s="162"/>
      <c r="I23" s="162"/>
      <c r="J23" s="163"/>
      <c r="K23" s="141"/>
    </row>
    <row r="24" spans="1:11" s="142" customFormat="1" ht="33" customHeight="1" x14ac:dyDescent="0.25">
      <c r="A24" s="141"/>
      <c r="B24" s="161"/>
      <c r="C24" s="168"/>
      <c r="D24" s="168"/>
      <c r="E24" s="161"/>
      <c r="F24" s="161"/>
      <c r="G24" s="162"/>
      <c r="H24" s="162"/>
      <c r="I24" s="162"/>
      <c r="J24" s="163"/>
      <c r="K24" s="141"/>
    </row>
    <row r="25" spans="1:11" s="142" customFormat="1" ht="33" hidden="1" customHeight="1" x14ac:dyDescent="0.25">
      <c r="A25" s="141"/>
      <c r="B25" s="161"/>
      <c r="C25" s="168"/>
      <c r="D25" s="168"/>
      <c r="E25" s="161"/>
      <c r="F25" s="161"/>
      <c r="G25" s="162"/>
      <c r="H25" s="162"/>
      <c r="I25" s="162"/>
      <c r="J25" s="163"/>
      <c r="K25" s="141"/>
    </row>
    <row r="26" spans="1:11" s="142" customFormat="1" ht="33" hidden="1" customHeight="1" x14ac:dyDescent="0.25">
      <c r="A26" s="141"/>
      <c r="B26" s="161"/>
      <c r="C26" s="168"/>
      <c r="D26" s="168"/>
      <c r="E26" s="161"/>
      <c r="F26" s="161"/>
      <c r="G26" s="162"/>
      <c r="H26" s="162"/>
      <c r="I26" s="162"/>
      <c r="J26" s="163"/>
      <c r="K26" s="141"/>
    </row>
    <row r="27" spans="1:11" s="142" customFormat="1" ht="33" hidden="1" customHeight="1" x14ac:dyDescent="0.25">
      <c r="A27" s="141"/>
      <c r="B27" s="161"/>
      <c r="C27" s="168"/>
      <c r="D27" s="168"/>
      <c r="E27" s="161"/>
      <c r="F27" s="161"/>
      <c r="G27" s="162"/>
      <c r="H27" s="162"/>
      <c r="I27" s="162"/>
      <c r="J27" s="163"/>
      <c r="K27" s="141"/>
    </row>
    <row r="28" spans="1:11" s="142" customFormat="1" ht="6.75" hidden="1" customHeight="1" x14ac:dyDescent="0.25">
      <c r="A28" s="141"/>
      <c r="B28" s="169"/>
      <c r="C28" s="163"/>
      <c r="D28" s="163"/>
      <c r="E28" s="161"/>
      <c r="F28" s="161"/>
      <c r="G28" s="169"/>
      <c r="H28" s="169"/>
      <c r="I28" s="169"/>
      <c r="J28" s="163"/>
      <c r="K28" s="141"/>
    </row>
    <row r="29" spans="1:11" ht="42.75" hidden="1" customHeight="1" x14ac:dyDescent="0.25">
      <c r="B29" s="170"/>
      <c r="C29" s="171"/>
      <c r="D29" s="171"/>
      <c r="E29" s="172"/>
      <c r="F29" s="173"/>
      <c r="G29" s="142"/>
      <c r="H29" s="142"/>
      <c r="I29" s="142"/>
    </row>
    <row r="30" spans="1:11" ht="16.5" hidden="1" customHeight="1" x14ac:dyDescent="0.25">
      <c r="C30" s="123"/>
      <c r="D30" s="123"/>
      <c r="E30" s="123"/>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D23:E23"/>
    <mergeCell ref="G11:H11"/>
    <mergeCell ref="J11:J12"/>
    <mergeCell ref="B19:J19"/>
    <mergeCell ref="C20:F20"/>
    <mergeCell ref="D21:E21"/>
    <mergeCell ref="D22:E22"/>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25</vt:i4>
      </vt:variant>
    </vt:vector>
  </HeadingPairs>
  <TitlesOfParts>
    <vt:vector size="44" baseType="lpstr">
      <vt:lpstr>Plan estratégico 2021-2024</vt:lpstr>
      <vt:lpstr>Matriz de seguimiento</vt:lpstr>
      <vt:lpstr>LISTAS</vt:lpstr>
      <vt:lpstr>HV</vt:lpstr>
      <vt:lpstr>Resultados</vt:lpstr>
      <vt:lpstr>Recomendación</vt:lpstr>
      <vt:lpstr>AN-01 - Plan MIPG (PFI)</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'Matriz de seguimiento'!Área_de_impresión</vt:lpstr>
      <vt:lpstr>Áreas</vt:lpstr>
      <vt:lpstr>Comunicaciones</vt:lpstr>
      <vt:lpstr>Contenidos_Ciudadanía</vt:lpstr>
      <vt:lpstr>Control_Interno</vt:lpstr>
      <vt:lpstr>Digital</vt:lpstr>
      <vt:lpstr>Gestión_Ambiental</vt:lpstr>
      <vt:lpstr>Gestión_Documental</vt:lpstr>
      <vt:lpstr>Matriz!Objetivos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tipo</vt:lpstr>
      <vt:lpstr>'AN-01 - Plan MIPG (PFI)'!Títulos_a_imprimir</vt:lpstr>
      <vt:lpstr>'Matriz de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2021-09-14T23:58:32Z</cp:lastPrinted>
  <dcterms:created xsi:type="dcterms:W3CDTF">2021-01-28T21:32:03Z</dcterms:created>
  <dcterms:modified xsi:type="dcterms:W3CDTF">2021-12-20T21:37:52Z</dcterms:modified>
</cp:coreProperties>
</file>