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20" windowWidth="20490" windowHeight="7005" tabRatio="939"/>
  </bookViews>
  <sheets>
    <sheet name="Reporte - Plan de acción 2019" sheetId="1" r:id="rId1"/>
    <sheet name="Tablas" sheetId="3" r:id="rId2"/>
  </sheets>
  <definedNames>
    <definedName name="_xlnm._FilterDatabase" localSheetId="0" hidden="1">'Reporte - Plan de acción 2019'!$A$4:$X$56</definedName>
    <definedName name="_xlnm._FilterDatabase" localSheetId="1" hidden="1">Tablas!$A$2:$E$17</definedName>
    <definedName name="_xlnm.Print_Titles" localSheetId="0">'Reporte - Plan de acción 2019'!$1:$4</definedName>
    <definedName name="_xlnm.Print_Titles" localSheetId="1">Tablas!#REF!</definedName>
  </definedNames>
  <calcPr calcId="144525"/>
</workbook>
</file>

<file path=xl/calcChain.xml><?xml version="1.0" encoding="utf-8"?>
<calcChain xmlns="http://schemas.openxmlformats.org/spreadsheetml/2006/main">
  <c r="Q13" i="1" l="1"/>
  <c r="N13" i="1"/>
  <c r="Q12" i="1"/>
  <c r="N12" i="1"/>
  <c r="T52" i="1" l="1"/>
  <c r="Q52" i="1"/>
  <c r="T49" i="1"/>
  <c r="Q49" i="1"/>
  <c r="K49" i="1" l="1"/>
  <c r="T13" i="1" l="1"/>
  <c r="T12" i="1"/>
  <c r="P54" i="1" l="1"/>
  <c r="T54" i="1" s="1"/>
  <c r="S47" i="1" l="1"/>
  <c r="T47" i="1" s="1"/>
  <c r="R47" i="1"/>
  <c r="Q47" i="1"/>
  <c r="S46" i="1"/>
  <c r="T46" i="1" s="1"/>
  <c r="R46" i="1"/>
  <c r="Q46" i="1"/>
  <c r="S45" i="1"/>
  <c r="T45" i="1" s="1"/>
  <c r="R45" i="1"/>
  <c r="Q45" i="1"/>
  <c r="Q44" i="1"/>
  <c r="T44" i="1" s="1"/>
  <c r="S43" i="1"/>
  <c r="T43" i="1" s="1"/>
  <c r="R43" i="1"/>
  <c r="Q43" i="1"/>
  <c r="S42" i="1"/>
  <c r="T42" i="1" s="1"/>
  <c r="R42" i="1"/>
  <c r="Q42" i="1"/>
  <c r="S41" i="1"/>
  <c r="T41" i="1" s="1"/>
  <c r="R41" i="1"/>
  <c r="Q41" i="1"/>
  <c r="Q25" i="1" l="1"/>
  <c r="T25" i="1" s="1"/>
  <c r="Q23" i="1"/>
  <c r="T23" i="1" s="1"/>
  <c r="G2" i="3" l="1"/>
  <c r="G3" i="3"/>
  <c r="G4" i="3"/>
  <c r="G5" i="3"/>
  <c r="G6" i="3"/>
  <c r="G7" i="3"/>
  <c r="G8" i="3"/>
  <c r="G9" i="3"/>
  <c r="G10" i="3"/>
  <c r="G11" i="3"/>
  <c r="G12" i="3"/>
  <c r="G13" i="3"/>
  <c r="G14" i="3"/>
  <c r="G15" i="3"/>
  <c r="G16" i="3"/>
  <c r="B17" i="3"/>
  <c r="J2" i="3" s="1"/>
  <c r="C17" i="3"/>
  <c r="J3" i="3" s="1"/>
  <c r="D17" i="3"/>
  <c r="J4" i="3" s="1"/>
  <c r="E17" i="3"/>
  <c r="J5" i="3" s="1"/>
  <c r="F17" i="3"/>
  <c r="J6" i="3" s="1"/>
  <c r="G17" i="3" l="1"/>
  <c r="B18" i="3" s="1"/>
  <c r="J7" i="3"/>
  <c r="N8" i="3" s="1"/>
  <c r="N2" i="3"/>
  <c r="N5" i="3"/>
  <c r="N6" i="3"/>
  <c r="N4" i="3"/>
  <c r="N3" i="3"/>
  <c r="T56" i="1"/>
  <c r="P56" i="1"/>
  <c r="Q55" i="1"/>
  <c r="T55" i="1" s="1"/>
  <c r="D18" i="3" l="1"/>
  <c r="C18" i="3"/>
  <c r="E18" i="3"/>
  <c r="F18" i="3"/>
  <c r="K5" i="3"/>
  <c r="K4" i="3"/>
  <c r="K3" i="3"/>
  <c r="K2" i="3"/>
  <c r="K6" i="3"/>
  <c r="T53" i="1"/>
  <c r="S53" i="1"/>
  <c r="R53" i="1"/>
  <c r="Q53" i="1"/>
  <c r="T48" i="1" l="1"/>
  <c r="Q48" i="1"/>
  <c r="T40" i="1" l="1"/>
  <c r="S40" i="1"/>
  <c r="R40" i="1"/>
  <c r="Q40" i="1"/>
  <c r="Q39" i="1" l="1"/>
  <c r="T39" i="1" s="1"/>
  <c r="Q38" i="1"/>
  <c r="T38" i="1" s="1"/>
  <c r="N38" i="1"/>
  <c r="Q37" i="1"/>
  <c r="T37" i="1"/>
  <c r="T36" i="1"/>
  <c r="Q36" i="1"/>
  <c r="T35" i="1"/>
  <c r="Q35" i="1"/>
  <c r="T34" i="1"/>
  <c r="Q34" i="1"/>
  <c r="T33" i="1" l="1"/>
  <c r="S33" i="1"/>
  <c r="R33" i="1"/>
  <c r="Q33" i="1"/>
  <c r="T32" i="1"/>
  <c r="S32" i="1"/>
  <c r="R32" i="1"/>
  <c r="Q32" i="1"/>
  <c r="Q31" i="1" l="1"/>
  <c r="T31" i="1" s="1"/>
  <c r="T30" i="1"/>
  <c r="Q30" i="1"/>
  <c r="Q29" i="1"/>
  <c r="T29" i="1" s="1"/>
  <c r="Q28" i="1"/>
  <c r="T28" i="1" s="1"/>
  <c r="T27" i="1"/>
  <c r="Q27" i="1"/>
  <c r="T26" i="1" l="1"/>
  <c r="Q26" i="1"/>
  <c r="T24" i="1" l="1"/>
  <c r="Q24" i="1"/>
  <c r="Q22" i="1" l="1"/>
  <c r="T22" i="1" s="1"/>
  <c r="Q21" i="1"/>
  <c r="T21" i="1" s="1"/>
  <c r="N21" i="1"/>
  <c r="Q9" i="1" l="1"/>
  <c r="T9" i="1" s="1"/>
  <c r="Q8" i="1"/>
  <c r="T8" i="1" s="1"/>
  <c r="Q7" i="1" l="1"/>
  <c r="T7" i="1" s="1"/>
  <c r="Q6" i="1"/>
  <c r="T6" i="1" s="1"/>
  <c r="Q5" i="1"/>
  <c r="T5" i="1" s="1"/>
  <c r="N20" i="1" l="1"/>
  <c r="T20" i="1" s="1"/>
  <c r="Q19" i="1"/>
  <c r="T19" i="1" s="1"/>
  <c r="T18" i="1"/>
  <c r="S18" i="1"/>
  <c r="R18" i="1"/>
  <c r="Q18" i="1"/>
  <c r="T17" i="1"/>
  <c r="S17" i="1"/>
  <c r="R17" i="1"/>
  <c r="Q17" i="1"/>
  <c r="T16" i="1"/>
  <c r="S16" i="1"/>
  <c r="R16" i="1"/>
  <c r="Q16" i="1"/>
  <c r="T15" i="1"/>
  <c r="S15" i="1"/>
  <c r="R15" i="1"/>
  <c r="Q15" i="1"/>
  <c r="S14" i="1" l="1"/>
  <c r="R14" i="1"/>
  <c r="Q14" i="1"/>
  <c r="T11" i="1" l="1"/>
  <c r="S11" i="1"/>
  <c r="R11" i="1"/>
  <c r="Q11" i="1"/>
  <c r="S10" i="1"/>
  <c r="T10" i="1" s="1"/>
  <c r="R10" i="1"/>
  <c r="Q10" i="1"/>
  <c r="K52" i="1" l="1"/>
  <c r="H52" i="1"/>
  <c r="N52" i="1"/>
  <c r="T51" i="1"/>
  <c r="N51" i="1"/>
  <c r="T50" i="1"/>
  <c r="N50" i="1"/>
  <c r="N49" i="1"/>
  <c r="N24" i="1" l="1"/>
  <c r="N8" i="1" l="1"/>
  <c r="N5" i="1"/>
  <c r="N9" i="1" l="1"/>
  <c r="N7" i="1"/>
  <c r="N6" i="1"/>
  <c r="L56" i="1" l="1"/>
  <c r="N55" i="1"/>
  <c r="L54" i="1"/>
  <c r="P53" i="1" l="1"/>
  <c r="O53" i="1"/>
  <c r="N53" i="1"/>
  <c r="N48" i="1" l="1"/>
  <c r="O47" i="1" l="1"/>
  <c r="P47" i="1"/>
  <c r="N47" i="1"/>
  <c r="P46" i="1"/>
  <c r="O46" i="1"/>
  <c r="N46" i="1"/>
  <c r="P45" i="1"/>
  <c r="O45" i="1"/>
  <c r="N45" i="1"/>
  <c r="N44" i="1"/>
  <c r="P43" i="1"/>
  <c r="O43" i="1"/>
  <c r="N43" i="1"/>
  <c r="P42" i="1"/>
  <c r="O42" i="1"/>
  <c r="N42" i="1"/>
  <c r="P41" i="1"/>
  <c r="O41" i="1"/>
  <c r="N41" i="1"/>
  <c r="P40" i="1" l="1"/>
  <c r="O40" i="1"/>
  <c r="N40" i="1"/>
  <c r="N39" i="1" l="1"/>
  <c r="K39" i="1"/>
  <c r="N37" i="1" l="1"/>
  <c r="N35" i="1"/>
  <c r="N34" i="1"/>
  <c r="P33" i="1" l="1"/>
  <c r="O33" i="1"/>
  <c r="N33" i="1"/>
  <c r="O32" i="1"/>
  <c r="N32" i="1"/>
  <c r="P32" i="1"/>
  <c r="N31" i="1" l="1"/>
  <c r="N30" i="1"/>
  <c r="N29" i="1"/>
  <c r="N28" i="1"/>
  <c r="N27" i="1"/>
  <c r="N26" i="1"/>
  <c r="N25" i="1" l="1"/>
  <c r="H25" i="1"/>
  <c r="K25" i="1"/>
  <c r="N23" i="1"/>
  <c r="K23" i="1"/>
  <c r="H23" i="1"/>
  <c r="N22" i="1" l="1"/>
  <c r="N19" i="1" l="1"/>
  <c r="P18" i="1"/>
  <c r="O18" i="1"/>
  <c r="N18" i="1"/>
  <c r="P17" i="1"/>
  <c r="O17" i="1"/>
  <c r="N17" i="1"/>
  <c r="P16" i="1"/>
  <c r="O16" i="1"/>
  <c r="N16" i="1"/>
  <c r="P15" i="1"/>
  <c r="O15" i="1"/>
  <c r="N15" i="1"/>
  <c r="P14" i="1"/>
  <c r="O14" i="1"/>
  <c r="N14" i="1"/>
  <c r="P11" i="1" l="1"/>
  <c r="O11" i="1"/>
  <c r="N11" i="1"/>
  <c r="K11" i="1"/>
  <c r="P10" i="1"/>
  <c r="O10" i="1"/>
  <c r="N10" i="1"/>
  <c r="K26" i="1" l="1"/>
  <c r="K8" i="1" l="1"/>
  <c r="K5" i="1" l="1"/>
  <c r="H56" i="1" l="1"/>
  <c r="K55" i="1"/>
  <c r="H54" i="1"/>
  <c r="M53" i="1" l="1"/>
  <c r="L53" i="1"/>
  <c r="K53" i="1"/>
  <c r="K51" i="1" l="1"/>
  <c r="K50" i="1"/>
  <c r="K48" i="1" l="1"/>
  <c r="M47" i="1" l="1"/>
  <c r="L47" i="1"/>
  <c r="K47" i="1"/>
  <c r="M46" i="1"/>
  <c r="L46" i="1"/>
  <c r="K46" i="1"/>
  <c r="M45" i="1"/>
  <c r="L45" i="1"/>
  <c r="K45" i="1"/>
  <c r="K44" i="1"/>
  <c r="M43" i="1"/>
  <c r="L43" i="1"/>
  <c r="K43" i="1"/>
  <c r="M42" i="1"/>
  <c r="L42" i="1"/>
  <c r="K42" i="1"/>
  <c r="M41" i="1"/>
  <c r="L41" i="1"/>
  <c r="K41" i="1"/>
  <c r="M40" i="1"/>
  <c r="L40" i="1"/>
  <c r="K40" i="1"/>
  <c r="K38" i="1"/>
  <c r="H37" i="1"/>
  <c r="K37" i="1"/>
  <c r="K36" i="1"/>
  <c r="K35" i="1"/>
  <c r="K34" i="1"/>
  <c r="J33" i="1"/>
  <c r="I33" i="1"/>
  <c r="I32" i="1"/>
  <c r="M32" i="1"/>
  <c r="L32" i="1"/>
  <c r="K32" i="1"/>
  <c r="J32" i="1"/>
  <c r="H32" i="1"/>
  <c r="K31" i="1"/>
  <c r="K30" i="1"/>
  <c r="K29" i="1"/>
  <c r="K28" i="1"/>
  <c r="K27" i="1"/>
  <c r="H27" i="1"/>
  <c r="K24" i="1"/>
  <c r="H24" i="1"/>
  <c r="K22" i="1" l="1"/>
  <c r="K21" i="1"/>
  <c r="K19" i="1" l="1"/>
  <c r="H19" i="1"/>
  <c r="M18" i="1"/>
  <c r="L18" i="1"/>
  <c r="K18" i="1"/>
  <c r="J18" i="1"/>
  <c r="I18" i="1"/>
  <c r="H18" i="1"/>
  <c r="M17" i="1"/>
  <c r="L17" i="1"/>
  <c r="K17" i="1"/>
  <c r="J17" i="1"/>
  <c r="I17" i="1"/>
  <c r="H17" i="1"/>
  <c r="M16" i="1"/>
  <c r="L16" i="1"/>
  <c r="K16" i="1"/>
  <c r="M15" i="1"/>
  <c r="L15" i="1"/>
  <c r="K15"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19" i="1"/>
  <c r="V20" i="1"/>
  <c r="V6" i="1"/>
  <c r="V7" i="1"/>
  <c r="V8" i="1"/>
  <c r="V9" i="1"/>
  <c r="V10" i="1"/>
  <c r="V11" i="1"/>
  <c r="V12" i="1"/>
  <c r="V13" i="1"/>
  <c r="V14" i="1"/>
  <c r="V15" i="1"/>
  <c r="V16" i="1"/>
  <c r="V17" i="1"/>
  <c r="V18" i="1"/>
  <c r="V5" i="1"/>
  <c r="M14" i="1"/>
  <c r="L14" i="1"/>
  <c r="K14" i="1"/>
  <c r="H21" i="1"/>
  <c r="K13" i="1" l="1"/>
  <c r="K12" i="1"/>
  <c r="H12" i="1"/>
  <c r="M11" i="1" l="1"/>
  <c r="L11" i="1"/>
  <c r="M10" i="1"/>
  <c r="L10" i="1"/>
  <c r="K10" i="1"/>
  <c r="K9" i="1" l="1"/>
  <c r="H9" i="1"/>
  <c r="H8" i="1"/>
  <c r="K7" i="1"/>
  <c r="H7" i="1"/>
  <c r="K6" i="1"/>
  <c r="H6" i="1"/>
  <c r="H5" i="1"/>
  <c r="H48" i="1" l="1"/>
  <c r="H51" i="1" l="1"/>
  <c r="H50" i="1"/>
  <c r="H49" i="1"/>
  <c r="J40" i="1" l="1"/>
  <c r="I40" i="1"/>
  <c r="H40" i="1"/>
  <c r="H26" i="1" l="1"/>
  <c r="H22" i="1"/>
  <c r="J47" i="1" l="1"/>
  <c r="I47" i="1"/>
  <c r="H47" i="1"/>
  <c r="J46" i="1"/>
  <c r="I46" i="1"/>
  <c r="H46" i="1"/>
  <c r="J45" i="1"/>
  <c r="I45" i="1"/>
  <c r="H45" i="1"/>
  <c r="H44" i="1"/>
  <c r="J43" i="1"/>
  <c r="I43" i="1"/>
  <c r="H43" i="1"/>
  <c r="J42" i="1"/>
  <c r="I42" i="1"/>
  <c r="H42" i="1"/>
  <c r="J41" i="1"/>
  <c r="I41" i="1"/>
  <c r="H41" i="1"/>
  <c r="H31" i="1" l="1"/>
  <c r="H30" i="1"/>
  <c r="H29" i="1"/>
  <c r="H28" i="1"/>
  <c r="H36" i="1" l="1"/>
  <c r="H35" i="1"/>
  <c r="H34" i="1"/>
  <c r="H39" i="1" l="1"/>
  <c r="H38" i="1"/>
  <c r="H55" i="1"/>
  <c r="J16" i="1" l="1"/>
  <c r="I16" i="1"/>
  <c r="H16" i="1"/>
  <c r="J15" i="1"/>
  <c r="I15" i="1"/>
  <c r="H15" i="1"/>
  <c r="J14" i="1"/>
  <c r="I14" i="1"/>
  <c r="H14" i="1"/>
  <c r="T14" i="1" l="1"/>
  <c r="J53" i="1"/>
  <c r="I53" i="1"/>
  <c r="H53" i="1"/>
  <c r="H13" i="1" l="1"/>
  <c r="J11" i="1" l="1"/>
  <c r="I11" i="1"/>
  <c r="H11" i="1"/>
  <c r="J10" i="1"/>
  <c r="I10" i="1"/>
  <c r="H10" i="1"/>
  <c r="V1" i="1" l="1"/>
</calcChain>
</file>

<file path=xl/comments1.xml><?xml version="1.0" encoding="utf-8"?>
<comments xmlns="http://schemas.openxmlformats.org/spreadsheetml/2006/main">
  <authors>
    <author>JOHN FREDY</author>
  </authors>
  <commentList>
    <comment ref="T4" authorId="0">
      <text>
        <r>
          <rPr>
            <sz val="9"/>
            <color indexed="81"/>
            <rFont val="Tahoma"/>
            <family val="2"/>
          </rPr>
          <t xml:space="preserve">Comportamiento del indicador frente a la meta propuesta para el cierre de la vigencia.
</t>
        </r>
      </text>
    </comment>
  </commentList>
</comments>
</file>

<file path=xl/sharedStrings.xml><?xml version="1.0" encoding="utf-8"?>
<sst xmlns="http://schemas.openxmlformats.org/spreadsheetml/2006/main" count="533" uniqueCount="403">
  <si>
    <t>PROCESO</t>
  </si>
  <si>
    <t>CÓD.</t>
  </si>
  <si>
    <t>OBJETIVO ESTRATÉGICO</t>
  </si>
  <si>
    <t>NOMBRE DEL INDICADOR</t>
  </si>
  <si>
    <t>FÓRMULA</t>
  </si>
  <si>
    <t>META</t>
  </si>
  <si>
    <t>REPORTE</t>
  </si>
  <si>
    <t>FUENTE</t>
  </si>
  <si>
    <t>ENE</t>
  </si>
  <si>
    <t>FEB</t>
  </si>
  <si>
    <t>MAR</t>
  </si>
  <si>
    <t>ABR</t>
  </si>
  <si>
    <t>MAY</t>
  </si>
  <si>
    <t>JUN</t>
  </si>
  <si>
    <t>JUL</t>
  </si>
  <si>
    <t>AGO</t>
  </si>
  <si>
    <t>SEP</t>
  </si>
  <si>
    <t>OCT</t>
  </si>
  <si>
    <t>NOV</t>
  </si>
  <si>
    <t>DIC</t>
  </si>
  <si>
    <t>Planeación Estratégica</t>
  </si>
  <si>
    <t>Modelo Integrado de Planeación y Gestión - MIPG</t>
  </si>
  <si>
    <t>Recursos - Autoridad Nacional de Televisión -ANTV-</t>
  </si>
  <si>
    <t>(Recursos ejecutados provenientes de la Autoridad Nacional de Televisión -ANTV- / Recursos provenientes de la Autoridad Nacional de Televisión -ANTV-) * 100%</t>
  </si>
  <si>
    <t>Ejecutar al ciento por ciento, los recursos provenientes de la Autoridad Nacional de Televisión -ANTV- de acuerdo con el plan de inversión 2018 aprobado por este ente.</t>
  </si>
  <si>
    <t>Recursos - proyectos de inversión</t>
  </si>
  <si>
    <t>(Recursos ejecutados en proyectos de inversión / Recursos asignados para proyectos de inversión) * 100%</t>
  </si>
  <si>
    <t>Ejecutar al 95% los recursos asignados para proyectos de inversión de la entidad</t>
  </si>
  <si>
    <t>(Comunicaciones realizadas / Comunicaciones requeridas) * 100%</t>
  </si>
  <si>
    <t>Dar cumplimiento al 100% de requerimientos de publicación de información en boletines y carteleras solicitado por las áreas</t>
  </si>
  <si>
    <t>Cumplimiento de las horas de emisión de programación infantil  según el acuerdo 002 de 2011 de la CNTV</t>
  </si>
  <si>
    <t>(Número de horas emitidas / Número de horas requeridas) *100 %</t>
  </si>
  <si>
    <t>Dar cumplimiento al 100% de horas de emisión de programación infantil  según el acuerdo 002 de 2011 de la CNTV</t>
  </si>
  <si>
    <t>Cumplimiento de las horas de emisión de programación adolescente, según el acuerdo 002 de 2011 de la CNTV</t>
  </si>
  <si>
    <t>Dar cumplimiento al 100% de horas de emisión de programación adolescente, según el acuerdo 002 de 2011 de la CNTV</t>
  </si>
  <si>
    <t>Cumplimiento de la cuota de pantalla para la población con discapacidad auditiva, según la resolución 350 de 2016 (Closed Caption)</t>
  </si>
  <si>
    <t>Dar cumplimiento al 100% de horas de emisión de programación para la población con discapacidad auditiva, discapacidad auditiva, según la resolución 350 de 2016 (Closed Caption)</t>
  </si>
  <si>
    <t>Cumplimiento de la cuota de pantalla para la población con discapacidad auditiva, según la resolución 350 de 2016 (Lengua de señas colombiana)</t>
  </si>
  <si>
    <t>Dar cumplimiento al 100% de horas de emisión de programación para la población con discapacidad auditiva, discapacidad auditiva, según la resolución 350 de 2016 (Lengua de señas colombiana)</t>
  </si>
  <si>
    <t>(Mantenimientos preventivos realizados / Mantenimientos preventivos programados) * 100%</t>
  </si>
  <si>
    <t>Comercialización</t>
  </si>
  <si>
    <t>(Alianzas realizadas / Propuestas de alianzas enviadas)*100%</t>
  </si>
  <si>
    <t>Gestión Financiera y Facturación</t>
  </si>
  <si>
    <t>Rentabilidad de los recursos financieros de la empresa, a través de tasas competitivas en los productos de acuerdo a las políticas de Canal Capital</t>
  </si>
  <si>
    <t>Ejecución del presupuesto de Ingresos</t>
  </si>
  <si>
    <t>Ejecución del presupuesto de Gastos</t>
  </si>
  <si>
    <t>Gestión de recaudo</t>
  </si>
  <si>
    <t>(Total recaudo / Total servicios cobrados al cierre del trimestre) * 100%</t>
  </si>
  <si>
    <t>Nivel de endeudamiento</t>
  </si>
  <si>
    <t>Reporte Contabilidad - Subdirección Financiera</t>
  </si>
  <si>
    <t>Capital de trabajo</t>
  </si>
  <si>
    <t>Activo Corriente - Pasivo Corriente</t>
  </si>
  <si>
    <t>Índice de Solvencia</t>
  </si>
  <si>
    <t>Activo Corriente / Pasivo Corriente</t>
  </si>
  <si>
    <t>Gestión Jurídica y Contractual</t>
  </si>
  <si>
    <t>Publicación de contratos en el Sistema Electrónico de Contratación Pública -SECOP-</t>
  </si>
  <si>
    <t>Capacitaciones sobre manual de contratación</t>
  </si>
  <si>
    <t>(Capacitaciones realizadas / Capacitaciones programadas) * 100%</t>
  </si>
  <si>
    <t>Número de procesos de selección publicados en la página web. (convocatoria pública, licitaciones y/o invitaciones).</t>
  </si>
  <si>
    <t>Gestión del Talento Humano</t>
  </si>
  <si>
    <t>Servicios solucionados / (Servicios pendientes mes anterior + servicios requeridos en mes)</t>
  </si>
  <si>
    <t>Reporte del área de Sistemas</t>
  </si>
  <si>
    <t>(Número de tomas físicas de inventario realizadas / Número de tomas físicas de inventario programadas) * 100%</t>
  </si>
  <si>
    <t>Control, Seguimiento y Evaluación</t>
  </si>
  <si>
    <t>No.</t>
  </si>
  <si>
    <t>Gestión de las Comunicaciones</t>
  </si>
  <si>
    <t>Producción de televisión</t>
  </si>
  <si>
    <t xml:space="preserve">Diseño y creación de contenidos </t>
  </si>
  <si>
    <t>Emisión de contenidos</t>
  </si>
  <si>
    <t>Gestión de recursos y administración de la información - Servicios Administrativos</t>
  </si>
  <si>
    <t>Gestión de recursos y administración de la información - Sistemas</t>
  </si>
  <si>
    <t>Gestión de recursos y administración de la información - Gestión Documental</t>
  </si>
  <si>
    <t>Gestión de recursos y administración de la información - Gestión Ambiental (PIGA)</t>
  </si>
  <si>
    <t>Servicio al ciudadano y defensor del televidente</t>
  </si>
  <si>
    <t>Proyecto de transformación digital</t>
  </si>
  <si>
    <t>Cumplimiento de las acciones establecidas para la vigencia en el Plan Anual de Adquisiciones - PAA.</t>
  </si>
  <si>
    <t>Seguidores en redes sociales</t>
  </si>
  <si>
    <t>Publicación de requerimientos en los boletines y carteleras</t>
  </si>
  <si>
    <t>Eventos o transmisiones especiales que muestran la  diversidad de contenidos deportivos y culturales de la ciudad.</t>
  </si>
  <si>
    <t>Incremento en las transmisiones especiales.</t>
  </si>
  <si>
    <t>Comportamiento del rating.</t>
  </si>
  <si>
    <t>Ejecución del Plan de renovación tecnológica</t>
  </si>
  <si>
    <t>Seguimiento al Cronograma de mantenimiento preventivo de equipos del área técnica</t>
  </si>
  <si>
    <t>Ventas de productos y/o servicios de la entidad. (clientes nuevos negocios).</t>
  </si>
  <si>
    <t>Utilidad real de los ingresos por concepto de nuevos negocios</t>
  </si>
  <si>
    <t>Gestión para el desarrollo de alianzas de posicionamiento</t>
  </si>
  <si>
    <t>Programa de inducción y reinducción 2019.</t>
  </si>
  <si>
    <t>Cumplimiento de las acciones establecidas para la vigencia en el Plan de capacitación 2019.</t>
  </si>
  <si>
    <t>Cumplimiento de las acciones establecidas para la vigencia en el plan de bienestar e incentivos 2019.</t>
  </si>
  <si>
    <t>Cumplimiento de las acciones establecidas para la vigencia en el Plan del Subsistema de Gestión de Seguridad y Salud en el Trabajo, SG-SST vigencia 2019.</t>
  </si>
  <si>
    <t>Cumplimiento de las acciones establecidas para la vigencia en el Plan Estratégico de Recursos Humanos, vigencia 2019.</t>
  </si>
  <si>
    <t>Implementación efectiva del Plan de Mantenimiento Locativo 2019.</t>
  </si>
  <si>
    <t>Ejecución del control de inventarios 2019.</t>
  </si>
  <si>
    <t>Servicios atendidos para los sistemas de información (mesa de ayuda y GLPI).</t>
  </si>
  <si>
    <t>Servicios atendidos sobre infraestructura de información y comunicación.</t>
  </si>
  <si>
    <t>Cumplimiento del cronograma de mantenimiento preventivo de equipos de cómputo - 2019</t>
  </si>
  <si>
    <t>Cumplimiento de las acciones definidas en el plan de T.I., de la vigencia 2019.</t>
  </si>
  <si>
    <t>Plan de Mejoramiento Archivístico (PMA) 2019.</t>
  </si>
  <si>
    <t>Cumplimiento de las acciones establecidas para la vigencia en el Plan Institucional de Archivos de la Entidad - PINAR.</t>
  </si>
  <si>
    <t>Plan Institucional de Gestión Ambiental, PIGA.</t>
  </si>
  <si>
    <t>Oportunidad en las respuestas a las peticiones y proposiciones del Concejo de Bogotá.</t>
  </si>
  <si>
    <t>Respuesta a las demandas notificadas a la entidad</t>
  </si>
  <si>
    <t>Eficacia en la atención a los PQRS.</t>
  </si>
  <si>
    <t>Cumplimiento de acciones del Plan de Mejoramiento por procesos.</t>
  </si>
  <si>
    <t>Cumplimiento del Plan Anual de Auditorías.</t>
  </si>
  <si>
    <t>Cumplimiento de las acciones establecidas para la vigencia en el Plan Anticorrupción y de Atención al Ciudadano - PAAC.</t>
  </si>
  <si>
    <t>(Recursos ejecutados del Plan Anual de Adquisiciones - PAA de la vigencia 2019 / Total de recursos programados en el Plan Anual de Adquisiciones - PAA para la vigencia)*100%.</t>
  </si>
  <si>
    <t>Número de seguidores del período / Meta propuesta para 2019.</t>
  </si>
  <si>
    <t>(Número de eventos o  transmisiones especiales realizadas / número de eventos o transmisiones especiales  planeadas) * 100%.</t>
  </si>
  <si>
    <t>(Número de transmisiones especiales realizadas durante el mes) / Número de transmisiones realizadas en el mismo mes de la vigencia anterior) * 100%.</t>
  </si>
  <si>
    <t>Promedio de personas viendo la programación en el mes / Meta planteada para 2019 (4000).</t>
  </si>
  <si>
    <t>(Recursos ejecutados del plan de renovación tecnológica / Recursos asignados al plan de renovación tecnológica) * 100%</t>
  </si>
  <si>
    <t>(Facturación por ventas del periodo de la línea de nuevos negocios 
/
Facturación proyectada por ventas del periodo de la línea de nuevos negocios) * 100%.</t>
  </si>
  <si>
    <t>(Utilidad de los negocios efectuados en el trimestre 
/
Meta de utilidad proyectada para la vigencia por concepto de nuevos negocios) * 100%.</t>
  </si>
  <si>
    <t>(Avances en el cumplimiento de las acciones establecidas en el programa de inducción y reinducción / Total de acciones establecidas en el programa de inducción y reinducción)*100%</t>
  </si>
  <si>
    <t>(Acciones realizadas del plan de mantenimiento locativo / Acciones programadas en el plan de mantenimiento locativo)*100%.</t>
  </si>
  <si>
    <t>(Mantenimientos preventivos  realizados / mantenimientos preventivos programados) * 100%</t>
  </si>
  <si>
    <t>(Acciones realizadas del Plan Institucional de Gestión Ambiental, PIGA / Acciones programadas del Plan Institucional de Gestión Ambiental, PIGA)*100%.</t>
  </si>
  <si>
    <t xml:space="preserve">Rendimientos financieros  acumulados trimestralmente sobre los recursos propios manejados en cuentas de ahorro y manejo de portafolio de inversiones / Apropiación presupuestal de rendimientos financieros  de la vigencia fiscal </t>
  </si>
  <si>
    <t>(Presupuesto de ingresos ejecutado mensual / Presupuesto ingresos apropiado) * 100%</t>
  </si>
  <si>
    <t>(Presupuesto gastos ejecutado / Presupuesto gastos apropiado) * 100%</t>
  </si>
  <si>
    <t>(Total Pasivo / Total Activo)</t>
  </si>
  <si>
    <t>(Número de peticiones y proposiciones del Concejo de Bogotá atendidas oportunamente / Número total de peticiones y proposiciones  del Concejo de Bogotá recibidas) * 100%</t>
  </si>
  <si>
    <t>(Número de contratos publicados en el SECOP en el trimestre / Número de contratos por publicar en el SECOP en el trimestre) * 100%</t>
  </si>
  <si>
    <t>(Procesos de selección publicados en el trimestre/ Total procesos convocados en el trimestre)*100%</t>
  </si>
  <si>
    <t>Demandas notificadas a la entidad / Demandas contestadas por la entidad</t>
  </si>
  <si>
    <t>(Número de solicitudes atendidas durante el mes / Número de solicitudes recibidas durante el mes) * 100%</t>
  </si>
  <si>
    <t>(Número de acciones cumplidas con fecha vencida del Plan de Mejoramiento por procesos a la fecha de corte / Número de acciones vencidas con estado abierto del Plan de Mejoramiento por procesos a la fecha de corte)*100%.</t>
  </si>
  <si>
    <t>(Número de actividades cumplidas del Plan Anual de Auditorías a la fecha de corte / Número de actividades programadas en el Plan Anual de Auditorías a la fecha de corte)*100%.</t>
  </si>
  <si>
    <t>(Avances en el cumplimiento de las acciones programadas en el Plan Anticorrupción y de Atención al Ciudadano - PAAC / Total de acciones programadas en el Plan Anticorrupción y de Atención al Ciudadano - PAAC)*100%.</t>
  </si>
  <si>
    <t>Cumplir por lo menos con el 90% de las actividades incluidas en el plan de trabajo del área para la implementación del Modelo Integrado de Planeación y Gestión MIPG.</t>
  </si>
  <si>
    <t>Cumplir con el 100% de las actividades programadas para la ejecución del proyecto de transformación digital para la vigencia 2019</t>
  </si>
  <si>
    <t>Dar cumplimiento al 100% de las actividades formuladas en el Plan Anual de Adquisiciones - PAA para la vigencia 2019</t>
  </si>
  <si>
    <t>Lograr la interacción de Canal Capital con 1.500.000 seguidores en las diferentes redes sociales.</t>
  </si>
  <si>
    <t xml:space="preserve">Realizar mínimo 180 transmisiones o eventos especiales  </t>
  </si>
  <si>
    <t>Incrementar en un 10% el número de transmisiones especiales realizadas en la vigencia 2018.</t>
  </si>
  <si>
    <t>Impactar mensualmente un promedio de 4.000 personas promedio mensual en zona centro de Colombia por televisión abierta.</t>
  </si>
  <si>
    <t>Ejecutar al menos el 85% de los recursos disponibles para el plan de renovación tecnológica.</t>
  </si>
  <si>
    <t>Ejecutar al menos el 85% del cronograma de  mantenimientos preventivos programados</t>
  </si>
  <si>
    <t>Lograr efectividad en cerca del 90% de las propuestas de alianzas de posicionamiento con los diferentes medios.</t>
  </si>
  <si>
    <t>Ejecutar al menos el 85% de las acciones establecidas en el programa de inducción y reinducción.</t>
  </si>
  <si>
    <t>Ejecutar al menos el 91% de las acciones programadas en el plan de capacitaciones para la vigencia 2019.</t>
  </si>
  <si>
    <t>Ejecutar al menos el 91% de las acciones programadas en el plan de bienestar e incentivos para la vigencia 2019.</t>
  </si>
  <si>
    <t>Ejecutar al menos el 80% de las acciones programadas en el plan del Subsistema de Gestión de Seguridad y Salud en el Trabajo -SG-SST para la vigencia 2019.</t>
  </si>
  <si>
    <t>Ejecutar al 90% las acciones programadas en el Plan Estratégico de Recursos Humanos para la vigencia 2019.</t>
  </si>
  <si>
    <t>Ejecutar al menos el 92% de las acciones programadas en el plan de mantenimiento locativo para la vigencia 2019</t>
  </si>
  <si>
    <t>Realizar el 92% de las tomas físicas de inventarios programadas para la vigencia 2019.</t>
  </si>
  <si>
    <t>Brindar atención y respuesta oportuna al 100% de los requerimientos de servicios para sistemas de información mediante mesa de ayuda y sistema GLPI.</t>
  </si>
  <si>
    <t>Brindar atención y respuesta oportuna al 100% de los requerimientos de servicios sobre infraestructura de información y comunicación.</t>
  </si>
  <si>
    <t>Ejecutar al 100% de las acciones programadas en el plan de mantenimiento locativo para la vigencia 2019.</t>
  </si>
  <si>
    <t>Dar cumplimiento al 90% de las actividades formuladas en el plan de T.I. para la vigencia 2019.</t>
  </si>
  <si>
    <t>Dar cumplimiento al 90% de las actividades formuladas en el plan de mejoramiento archivístico para la vigencia 2019</t>
  </si>
  <si>
    <t>Dar cumplimiento al 90% de las actividades formuladas en el Plan Institucional de Archivos de la Entidad - PINAR para la vigencia 2019</t>
  </si>
  <si>
    <t>Ejecutar al menos el 95% de las acciones programadas en el Plan Institucional de Gestión Ambiental - PIGA</t>
  </si>
  <si>
    <t>Recaudar el 90% del presupuesto de ingresos proyectado para la vigencia fiscal</t>
  </si>
  <si>
    <t>Ejecutar el 90% del presupuesto de gastos aprobado para la vigencia fiscal</t>
  </si>
  <si>
    <t>Atender oportunamente la totalidad de las peticiones y proposiciones del Concejo de Bogotá.</t>
  </si>
  <si>
    <t>Ejecutar mínimo 4 capacitaciones programadas a funcionarios y contratistas de la entidad en el manual de contratación.</t>
  </si>
  <si>
    <t>Publicar al 100% la información de los procesos de selección convocados, en la página web de la entidad.</t>
  </si>
  <si>
    <t>Dar respuesta de manera oportuna al 100% de las demandas notificadas al canal.</t>
  </si>
  <si>
    <t>Verificar que las respuestas a la totalidad de las peticiones, quejas, reclamos y/o sugerencias sean atendidas en los términos establecidos por la ley.</t>
  </si>
  <si>
    <t>Buscar que los responsables de las acciones cumplan el 60% de las acciones formuladas en plan de mejoramiento cuya fecha de finalización se encuentre prevista a la fecha de corte de seguimiento.</t>
  </si>
  <si>
    <t>Cumplir con el 94% de las actividades programadas, incluidas todas la actividades adicionales que puedan surgir durante la vigencia.</t>
  </si>
  <si>
    <t>Dar cumplimiento al 90% de las actividades formuladas en el Plan Anticorrupción y de Atención al Ciudadano - PAAC para la vigencia 2019.</t>
  </si>
  <si>
    <t>1. Informes trimestrales reportados a la Autoridad Nacional de Televisión -ANTV-
2. Plan de inversión formulado por Canal Capital para la ejecución de recursos asignados por la Autoridad Nacional de Televisión -ANTV-</t>
  </si>
  <si>
    <t>Registros de seguimiento a la ejecución de proyectos de inversión</t>
  </si>
  <si>
    <t>Registros de seguimiento a la ejecución del proyecto en planeación.</t>
  </si>
  <si>
    <t>Plan Anual de Adquisiciones - PAA.</t>
  </si>
  <si>
    <t>Reporte de los community managers en relación con el número de seguidores en las redes sociales del Canal.</t>
  </si>
  <si>
    <t xml:space="preserve">Requerimientos de las diferentes áreas </t>
  </si>
  <si>
    <t>1. Documentación delas alianzas o convenios realizados
2. Relación de los eventos transmitidos</t>
  </si>
  <si>
    <t>Reporte de transmisiones de la Coordinación de Producción.</t>
  </si>
  <si>
    <t>Coordinación de programación</t>
  </si>
  <si>
    <t xml:space="preserve">1. Información contractual.
2. Información financiera. 
3. Plan anual de adquisiciones. </t>
  </si>
  <si>
    <t>Formato cronograma de mantenimientos preventivos</t>
  </si>
  <si>
    <t>Registro de facturación del Apoyo Financiero de Nuevos Negocios, validado con la información de la Subdirección Financiera.</t>
  </si>
  <si>
    <t>Ventas y Mercadeo</t>
  </si>
  <si>
    <t>Programa de inducción y reinducción vigencia 2019</t>
  </si>
  <si>
    <t>(AN-03) - Plan de capacitación vigencia 2019</t>
  </si>
  <si>
    <t>(AN-04) - Plan de bienestar  e incentivos vigencia 2019.</t>
  </si>
  <si>
    <t>(AN-05) - Plan del Subsistema de Gestión de Seguridad y Salud en el Trabajo - SG-SST, vigencia 2019.</t>
  </si>
  <si>
    <t>(AN-02) - Plan Estratégico de Recursos Humanos, vigencia 2019.</t>
  </si>
  <si>
    <t>Plan de mantenimiento locativo para la vigencia 2019</t>
  </si>
  <si>
    <t>Reporte de inventarios del área de servicios administrativos</t>
  </si>
  <si>
    <t>Reportes del sistema GLPI</t>
  </si>
  <si>
    <t>Informes de actividades entregados por el contratista de mantenimientos realizados</t>
  </si>
  <si>
    <t>(AN-06) - Plan de T.I.</t>
  </si>
  <si>
    <t>Plan de Mejoramiento Archivístico 2019</t>
  </si>
  <si>
    <t>(AN-01) - Plan Institucional de Archivos de la Entidad - PINAR, para la vigencia 2019.</t>
  </si>
  <si>
    <t>Plan Institucional de Gestión Ambiental - PIGA vigencia 2019</t>
  </si>
  <si>
    <t>Subdirección Financiera - Reporte de tesorería</t>
  </si>
  <si>
    <t>Subdirección Financiera - Reporte ejecución presupuesto de ingresos</t>
  </si>
  <si>
    <t>Subdirección Financiera- Reporte de presupuesto de gastos</t>
  </si>
  <si>
    <t xml:space="preserve">Subdirección Financiera-Reporte Facturación y Cartera - </t>
  </si>
  <si>
    <t>Registro de control de  las peticiones y proposiciones del Concejo de Bogotá recibidas y tramitadas.</t>
  </si>
  <si>
    <t xml:space="preserve">Relación de contratos celebrados por la entidad- Libro numerador de Contratos de la Coordinación Jurídica </t>
  </si>
  <si>
    <t>Coordinación Jurídica</t>
  </si>
  <si>
    <t>1. Información suministrada por la Auxiliar de Servicio al Ciudadano
2. Reporte gestión peticiones SDQS - Bogotá te escucha.
3. Sistema Distrital de quejas y soluciones SDQS - Bogotá te escucha.</t>
  </si>
  <si>
    <t>Informes de Seguimiento al Plan de mejoramiento por procesos y la matriz de seguimiento al Plan de Mejoramiento por procesos</t>
  </si>
  <si>
    <t>Archivo denominado "Seguimiento al Plan Anual de Auditorías", que contiene la calificación de cada una de las actividades, así como las escalas de medición definidas.</t>
  </si>
  <si>
    <t>Informes de seguimiento cuatrimestrales del Plan Anticorrupción y de Atención al Ciudadano - PAAC.</t>
  </si>
  <si>
    <t>5 - Establecer un modelo de gestión que contemple una planeación estratégica alineada con el proceso de transformación digital que experimenta el sector y orientada en todas sus actuaciones al servicio eficiente, responsable y transparente.</t>
  </si>
  <si>
    <t>4 - Aumentar los ingresos percibidos por la gestión comercial y financiera con la apertura de nuevos negocios que permitan conducir a Canal Capital a la realización de su planteamiento misional.</t>
  </si>
  <si>
    <t>1 - Generar y producir contenidos audiovisuales para diversas plataformas con énfasis en educación, información local, cultural y deportiva.</t>
  </si>
  <si>
    <t>2 - Consolidar una oferta de contenidos que, apalancados en el crecimiento de la industria creativa a partir de la innovación y la creatividad permita el reconocimiento de Canal Capital como una empresa sólida en la prestación de servicios audiovisuales.</t>
  </si>
  <si>
    <t xml:space="preserve">3 - Fortalecer la infraestructura tecnológica de Canal Capital para estar acorde con la demanda de contenidos que se requieren para alimentar las diversas plataformas de emisión audiovisual. </t>
  </si>
  <si>
    <t>3 - Fortalecer la infraestructura tecnológica de Canal Capital para estar acorde con la demanda de contenidos que se requieren para alimentar las diversas plataformas de emisión audiovisual.</t>
  </si>
  <si>
    <t>Ventas de productos y/o servicios de la entidad. (clientes sector público y privado).</t>
  </si>
  <si>
    <t>(Ingresos por ventas del periodo con clientes del sector público y privado / Ingresos por ventas proyectadas para la vigencia de clientes del sector público y privado) * 100%.</t>
  </si>
  <si>
    <t>Lograr ingresos por concepto de ventas de los clientes del sector público y privados por valor de $2.610.000.00</t>
  </si>
  <si>
    <t>Reporte de ventas del área Comercial.
Reporte final de ventas del  área Financiera (clientes sector público).
Reporte final de ventas del  área Financiera (clientes sector privados).</t>
  </si>
  <si>
    <t>-</t>
  </si>
  <si>
    <t>CAN: Crecimiento del Alcance neto de audiencia - Contenidos plan de inversión 2019</t>
  </si>
  <si>
    <t>CAN: Crecimiento del Alcance neto de audiencia  - Contenidos proyectos especiales 2019</t>
  </si>
  <si>
    <t>Alcance neto(Cov%)del tipo de contenido en la vigencia - Alcance neto(cov%)del tipo de contenido en la vigencia anterior / Alcance neto(cov%) del tipo de contenido en la vigencia anterior</t>
  </si>
  <si>
    <t>((Alcance neto(Cov%)del tipo de contenido en la vigencia)/(cantidad de proyectos de la vigencia))  - ((Alcance neto(Cov%)del tipo de contenido en la vigencia anterior)/(cantidad de proyectos de la vigencia anterior)) / ((Alcance neto(Cov%)del tipo de contenido en la vigencia anterior)/(cantidad de proyectos de la vigencia anterior))</t>
  </si>
  <si>
    <t>Registrar un crecimiento de 23% de los usuarios únicos que consumieron los contenidos del plan de inversión 2019 a nivel nacional.</t>
  </si>
  <si>
    <t>Registrar un crecimiento de 40% de los usuarios únicos que consumieron los proyectos especiales 2019</t>
  </si>
  <si>
    <t xml:space="preserve">Por requerimiento de la ANTV, el 100% de la programación deben contar con el sistema de acceso Closed Caption, por ende los datos reflejados representan un 100%. Los anteriores datos son tomados del informe entregado trimestralmente a la ANTV </t>
  </si>
  <si>
    <t>OE5-1</t>
  </si>
  <si>
    <t>OE4-1</t>
  </si>
  <si>
    <t>OE4-2</t>
  </si>
  <si>
    <t>OE5-2</t>
  </si>
  <si>
    <t>OE4-3</t>
  </si>
  <si>
    <t>OE1-1</t>
  </si>
  <si>
    <t>OE1-2</t>
  </si>
  <si>
    <t>OE2-1</t>
  </si>
  <si>
    <t>OE2-2</t>
  </si>
  <si>
    <t>OE2-3</t>
  </si>
  <si>
    <t>OE2-4</t>
  </si>
  <si>
    <t>OE2-5</t>
  </si>
  <si>
    <t>OE2-6</t>
  </si>
  <si>
    <t>OE2-7</t>
  </si>
  <si>
    <t>OE2-8</t>
  </si>
  <si>
    <t>OE2-9</t>
  </si>
  <si>
    <t>OE3-1</t>
  </si>
  <si>
    <t>OE3-2</t>
  </si>
  <si>
    <t>OE4-4</t>
  </si>
  <si>
    <t>OE4-5</t>
  </si>
  <si>
    <t>OE4-6</t>
  </si>
  <si>
    <t>OE4-7</t>
  </si>
  <si>
    <t>OE5-3</t>
  </si>
  <si>
    <t>OE5-4</t>
  </si>
  <si>
    <t>OE5-5</t>
  </si>
  <si>
    <t>OE5-6</t>
  </si>
  <si>
    <t>OE5-7</t>
  </si>
  <si>
    <t>OE5-8</t>
  </si>
  <si>
    <t>OE5-9</t>
  </si>
  <si>
    <t>OE5-10</t>
  </si>
  <si>
    <t>OE5-11</t>
  </si>
  <si>
    <t>OE5-12</t>
  </si>
  <si>
    <t>OE5-13</t>
  </si>
  <si>
    <t>OE5-14</t>
  </si>
  <si>
    <t>OE5-15</t>
  </si>
  <si>
    <t>OE5-16</t>
  </si>
  <si>
    <t>OE4-8</t>
  </si>
  <si>
    <t>OE4-9</t>
  </si>
  <si>
    <t>OE4-10</t>
  </si>
  <si>
    <t>OE4-11</t>
  </si>
  <si>
    <t>OE4-12</t>
  </si>
  <si>
    <t>OE4-13</t>
  </si>
  <si>
    <t>OE4-14</t>
  </si>
  <si>
    <t>OE5-17</t>
  </si>
  <si>
    <t>OE5-18</t>
  </si>
  <si>
    <t>OE5-19</t>
  </si>
  <si>
    <t>OE5-20</t>
  </si>
  <si>
    <t>OE5-21</t>
  </si>
  <si>
    <t>OE1-3</t>
  </si>
  <si>
    <t>OE5-22</t>
  </si>
  <si>
    <t>OE5-23</t>
  </si>
  <si>
    <t>OE5-24</t>
  </si>
  <si>
    <t>(Porcentaje de avance en las actividades del plan de trabajo programadas para la vigencia / 100% de cumplimiento del plan de trabajo definido para la vigencia) * 100%</t>
  </si>
  <si>
    <t>(Porcentaje de avances en el cumplimiento de las acciones programadas en el plan de capacitación / 100% de avance en el total de acciones programadas del plan de capacitación)*100%.</t>
  </si>
  <si>
    <t>(Porcentaje de avances  en el cumplimiento de las acciones programadas en el plan de bienestar  e incentivos  / 100% de avance en el total de acciones programadas del plan de bienestar  e incentivos)*100%.</t>
  </si>
  <si>
    <t>(Porcentaje de avances en el cumplimiento de las acciones programadas en el plan del Subsistema de Gestión de Seguridad y Salud en el Trabajo, SG-SST  / 100% de avance en el total de acciones programadas del plan del Subsistema de Gestión de Seguridad y Salud en el Trabajo, SG-SST)*100%.</t>
  </si>
  <si>
    <t>(Porcentaje de avances en el cumplimiento de las acciones programadas en el Plan Estratégico de Recursos Humanos / 100% de avance en el total de acciones programadas del Plan Estratégico de Recursos Humanos)*100%.</t>
  </si>
  <si>
    <t>(Porcentaje de avances en el cumplimiento de las acciones programadas en el plan de T.I. / 100% de avance en el total de acciones programadas en el plan de T.I.)*100%.</t>
  </si>
  <si>
    <t>(Porcentaje de avances  en el cumplimiento de las acciones generadas en el informe de Archivo Distrital / 100% de avance en el total de acciones programadas en el plan de mejoramiento del archivo.)*100%.</t>
  </si>
  <si>
    <t>(Porcentaje de avances en el cumplimiento de las acciones programadas en el Plan Institucional de Archivos de la Entidad - PINAR / 100% de avance en el total de acciones programadas en el Plan Institucional de Archivos de la Entidad - PINAR)*100%.</t>
  </si>
  <si>
    <t>Avance reportado</t>
  </si>
  <si>
    <t>Reporte del período</t>
  </si>
  <si>
    <t>Observaciones</t>
  </si>
  <si>
    <t>El resultado del indicador a la fecha de corte supera la meta propuesta, debido a que las horas de emisión de programación infantil emitidas son mayores a las mínimas requeridas por el acuerdo 002 de 2011 de la CNTV. Es recomendable revisar el método bajo el cual se hace la medición y de ser pertinente ajustar la meta, procurando que la misma supere el cumplimiento legal.</t>
  </si>
  <si>
    <t>El resultado del indicador a la fecha de corte supera la meta propuesta, debido a que las horas de emisión de programación adolescente emitidas son mayores a las mínimas requeridas por el acuerdo 002 de 2011 de la CNTV. Es recomendable revisar el método bajo el cual se hace la medición y de ser pertinente ajustar la meta, procurando que la misma supere el cumplimiento legal.</t>
  </si>
  <si>
    <t>El resultado del indicador a la fecha de corte es adecuado frente a la meta propuesta y no presenta observaciones.</t>
  </si>
  <si>
    <t>El resultado del indicador a la fecha de corte supera la meta propuesta, debido a la ejecución de actividades adicionales a las incluidas en el programa de inducción y reinducción.</t>
  </si>
  <si>
    <t>De acuerdo con el reporte de información, se ha dado cumplimiento a las acciones del plan de capacitación de acuerdo con lo previsto; el resultado del indicador a la fecha de corte es adecuado y no presenta observaciones.</t>
  </si>
  <si>
    <t>De acuerdo con el reporte de información, se ha dado cumplimiento a las acciones del plan de bienestar e incentivos de acuerdo con lo previsto; el resultado del indicador a la fecha de corte es adecuado y no presenta observaciones.</t>
  </si>
  <si>
    <t>De acuerdo con el reporte de información, se ha dado cumplimiento a las acciones del plan de seguridad y salud en el trabajo - SST de acuerdo con lo previsto; el resultado del indicador a la fecha de corte es adecuado y no presenta observaciones.</t>
  </si>
  <si>
    <t>De acuerdo con el reporte de información, se ha dado cumplimiento a las acciones del plan estratégico de recursos humanos de acuerdo con lo previsto; el resultado del indicador a la fecha de corte es adecuado y no presenta observaciones.</t>
  </si>
  <si>
    <t>De acuerdo con el reporte de información, se ha dado cumplimiento a las acciones del plan de mantenimientos locativos de acuerdo con lo previsto; el resultado del indicador a la fecha de corte es adecuado y no presenta observaciones.</t>
  </si>
  <si>
    <t>De acuerdo con el reporte de información, se ha dado cumplimiento a las tomas físicas de inventarios de acuerdo con lo previsto; el resultado del indicador a la fecha de corte es adecuado y no presenta observaciones.</t>
  </si>
  <si>
    <t>De acuerdo con el reporte de información, se ha dado respuesta oportuna a las solicitudes de atención para sistemas de información mediante sistema GLPI; el resultado del indicador a la fecha de corte es adecuado y no presenta observaciones.</t>
  </si>
  <si>
    <t>De acuerdo con el reporte de información, se ha dado respuesta oportuna a las solicitudes de atención sobre infraestructura de información y comunicación; el resultado del indicador a la fecha de corte es adecuado y no presenta observaciones.</t>
  </si>
  <si>
    <t>De acuerdo con el reporte de información, se ha realizado un (1) mantenimiento preventivo adicional de lo programado; el resultado del indicador a la fecha de corte es adecuado y no presenta observaciones.</t>
  </si>
  <si>
    <t>De acuerdo con el reporte de información, se ha dado cumplimiento a las acciones del plan de T.I de acuerdo con lo previsto; el resultado del indicador a la fecha de corte es adecuado y no presenta observaciones.</t>
  </si>
  <si>
    <t>De acuerdo con el reporte de información, se ha dado cumplimiento a las acciones del plan de acción del PIGA de acuerdo con lo previsto; el resultado del indicador a la fecha de corte es adecuado y no presenta observaciones.</t>
  </si>
  <si>
    <t>El resultado del indicador a la fecha de corte es adecuado frente a la meta propuesta  y no presenta observaciones.</t>
  </si>
  <si>
    <t>De acuerdo con lo reportado, se ha dado respuesta a la totalidad de peticiones y proposiciones requeridas por el Concejo de Bogotá de forma oportuna; el resultado del indicador a la fecha de corte es adecuado y no presenta observaciones.</t>
  </si>
  <si>
    <t>De acuerdo con lo reportado, se ha realizado el cargue de información en el SECOP de forma adecuada; el resultado del indicador a la fecha de corte es adecuado y no presenta observaciones.</t>
  </si>
  <si>
    <t xml:space="preserve">De acuerdo con lo reportado, a la fecha se superó la meta propuesta de capacitaciones sobre el manual de contratación; el resultado del indicador a la fecha de corte es adecuado y no presenta observaciones. </t>
  </si>
  <si>
    <t>De acuerdo con lo reportado, se ha realizado de forma oportuna la publicación de información de la totalidad de procesos de selección convocados, en la página web de la entidad; el resultado del indicador a la fecha de corte es adecuado y no presenta observaciones.</t>
  </si>
  <si>
    <t>De acuerdo con lo reportado, se ha dado respuesta a la totalidad de demandas notificadas al canal de forma oportuna; el resultado del indicador a la fecha de corte es adecuado y no presenta observaciones.</t>
  </si>
  <si>
    <t>De acuerdo con lo reportado, se ha dado respuesta eficaz a las  peticiones, quejas, reclamos y/o sugerencias; el resultado del indicador a la fecha de corte es adecuado y no presenta observaciones.</t>
  </si>
  <si>
    <t>El resultado del indicador a la fecha de corte es adecuada y no presenta observaciones.</t>
  </si>
  <si>
    <t>Lograr una utilidad de $1.200.000.000 por concepto de negocios realizados en la vigencia 2019.</t>
  </si>
  <si>
    <t>Generación de rentabilidades óptimas de los recursos financieros, que son administrados durante una vigencia fiscal, los cuales son colocadas a tasas de interés competitivas del mercado.</t>
  </si>
  <si>
    <t xml:space="preserve">Evaluar la edad de la cartera del canal, con el fin de conocer la probabilidad de obtención de recursos en caja en un periodo determinado. 
Tomar las medidas necesarias para el recaudo oportuno.  </t>
  </si>
  <si>
    <t>Medir la proporción en la cuál participan los acreedores sobre el valor total de la empresa .</t>
  </si>
  <si>
    <t>Medir los recursos que requiere la entidad para desarrollar sus operaciones económicas a corto plazo.</t>
  </si>
  <si>
    <t>Medir la capacidad de la entidad para atender el pago de todas sus deudas y compromisos a corto plazo.</t>
  </si>
  <si>
    <t>(Número de horas emitidas  con Closed Caption / Número de horas emitidas) *100 %</t>
  </si>
  <si>
    <t>(Número de horas emitidas  con LSC / Número de horas emitidas) *100 %</t>
  </si>
  <si>
    <t>Se observa en el reporte realizado que hay un comportamiento similar frente a las transmisiones realizadas frente a la vigencia anterior, aunque no llega al 10% del incremento propuesto en la meta. El resultado del indicador a la fecha de corte es adecuado y no presenta observaciones.</t>
  </si>
  <si>
    <t>REPORTE INDICADORES CANAL CAPITAL
Seguimiento plan de acción
Reporte Semestre 2- 2019
Fecha de informe: 31/01/2020</t>
  </si>
  <si>
    <t>De acuerdo con la información reportada, Canal Capital ha logrado interacción de 1.600.566, llegando al 106,70% de la meta propuesta; el resultado del indicador a la fecha de corte es adecuado y no presenta observaciones.</t>
  </si>
  <si>
    <t>De acuerdo con los datos suministrados para el corte, el área de comunicaciones ha dado atención y respuesta a la totalidad de requerimientos de publicación y socialización de la información requerida por las áreas (587). El resultado del indicador a la fecha de corte es adecuado y no presenta observaciones.</t>
  </si>
  <si>
    <t>De acuerdo con el reporte, al segundo semestre de la vigencia, se superó la meta propuesta, logrando un promedio de impacto de 5383 personas al mes; el resultado del indicador es adecuado frente a la meta propuesta y no presenta observaciones.</t>
  </si>
  <si>
    <t>El resultado del indicador a la fecha de corte es adecuado y supera la meta propuesta, debido a que la cuota de pantalla para la población con discapacidad auditiva es mayor a la requerida, según la resolución 350 de 2016 (Lengua de señas colombiana); frente al indicador, el reporte es adecuado y no presenta observaciones.</t>
  </si>
  <si>
    <t>De acuerdo con la información reportada, se presentó crecimiento de 22,75% del alcance neto de audiencia para los contenidos del plan de inversiones de la vigencia, frente a la anterior; el resultado del indicador a la fecha de corte es adecuado frente a la meta propuesta, por lo que no presenta observaciones.</t>
  </si>
  <si>
    <t>De acuerdo con la información reportada, se presentó crecimiento de 56,38% del alcance neto de audiencia para los contenidos de proyectos especiales del plan de inversiones de la vigencia, frente a la anterior; el resultado del indicador a la fecha de corte es superior frente a la meta propuesta, por lo que no presenta observaciones.</t>
  </si>
  <si>
    <t>El resultado al final de la vigencia sobre los avances en el plan de trabajo del Modelo Integrado de Planeación y gestión, logró un cumplimiento del 88,76%, adecuado frente a la meta propuesta, por lo cual no presenta observaciones.</t>
  </si>
  <si>
    <t>Al tercer trimestre, se ha adelantado un 97,65% en la ejecución de los recursos asignados por la ANTV; El resultado del indicador a la fecha es adecuado y no presenta observaciones.</t>
  </si>
  <si>
    <t>Al cierre de la vigencia, la ejecución de recursos de los proyectos de inversión ha sido adecuada y se encuentra en el 97,41%; el resultado del indicador a la fecha de corte es adecuado y no presenta observaciones.</t>
  </si>
  <si>
    <t>Al cierre de 2019, el estado de avance del proyecto de transformación digital, es del 80%, consecuente con el plan de trabajo definido y con lo definido en el contrato con la firma consultora. El restante corresponde con la implementación de resultados, una vez los mismos sean puestos a consideración y análisis por parte de la alta gerencia.</t>
  </si>
  <si>
    <t>De acuerdo con la información reportada, la ejecución de los recursos del PAA se ha desarrollado conforme a lo planeado, logrando un nivel de cumplimiento del 96,52%; el resultado del indicador a la fecha de corte es adecuado y no presenta observaciones.</t>
  </si>
  <si>
    <t>De acuerdo con el reporte de la Coordinación Técnica, la ejecución de recursos del plan de renovación al cierre de 2019 es del 93,87%; el resultado del indicador a la fecha de corte es adecuado y no presenta observaciones.</t>
  </si>
  <si>
    <t>Al cierre de 2019 y de acuerdo con el reporte de información, los mantenimientos preventivos se han realizado conforme a lo programado; el resultado del indicador es adecuado y no presenta observaciones.</t>
  </si>
  <si>
    <t>De acuerdo con el reporte de información, se ha dado cumplimiento al 80% de las acciones del plan de mejoramiento del archivo de acuerdo con lo previsto; el resultado del indicador a la fecha de corte es adecuado y no presenta observaciones.</t>
  </si>
  <si>
    <t>De acuerdo con el reporte de información, se ha dado cumplimiento al 92% de las acciones del Plan Institucional de Archivos - PINAR, de acuerdo con lo previsto; el resultado del indicador a la fecha de corte es adecuado y no presenta observaciones.</t>
  </si>
  <si>
    <t>(AN-07) - Plan de trabajo del área, para la implementación del Modelo Integrado de Planeación y Gestión
Manual del MIPG
Direccionamientos de la Secretaría General de la Alcaldía Mayor, Departamento Administrativo de la Función Pública y demás entidades rectoras en la implementación del MIPG para el nivel distrital.</t>
  </si>
  <si>
    <t>(sin datos)</t>
  </si>
  <si>
    <t>-30%
(crítico)</t>
  </si>
  <si>
    <t>30% - 60%
(aceptable)</t>
  </si>
  <si>
    <t>60% - 90%
(satisfactorio)</t>
  </si>
  <si>
    <t>+ 90%
(muy satisfactorio)</t>
  </si>
  <si>
    <t>Escala</t>
  </si>
  <si>
    <t>Cantidad
(a 30 de junio)</t>
  </si>
  <si>
    <t>%</t>
  </si>
  <si>
    <t>Ponderación</t>
  </si>
  <si>
    <t>Ponderación * Cantidad</t>
  </si>
  <si>
    <t>-30% (crítico)</t>
  </si>
  <si>
    <t>30% - 60% (aceptable)</t>
  </si>
  <si>
    <t>60% - 90% (satisfactorio)</t>
  </si>
  <si>
    <t>+ 90% (muy satisfactorio)</t>
  </si>
  <si>
    <t>Avance plan de acción</t>
  </si>
  <si>
    <t>Facturar como mínimo $7.456 millones, que corresponden al 80% de los contratos vigentes en el 2019 cuya meta de suscripción es de $9,320,000,000 Incluido IVA, de los contratos por concepto de la línea de Nuevos Negocios</t>
  </si>
  <si>
    <t>De acuerdo con la información reportada por el área de nuevos negocios, el resultado del indicador es adecuado y no presenta observaciones.</t>
  </si>
  <si>
    <t>De acuerdo con la información reportada, el resultado al cierre de la vigencia es satisfactorio, superando el 75% del cumplimiento; no obstante, se requiere mayores esfuerzos por parte de las áreas en la gestión de sus planes de mejoramiento.</t>
  </si>
  <si>
    <t>Al cierre de la vigencia 2019, el resultado de avance de las área corresponde al 87,14%, que si bien es un buen resultado, implica que se requiere mayores esfuerzos por parte de las áreas en la gestión de sus acciones en el Plan Anticorrupción y de Atención al Ciudadano - PAAC.</t>
  </si>
  <si>
    <t>De acuerdo con la información reportada, a la fecha de corte se ha llegado a la realización de 265 transmisiones o eventos, que representan el logro de 147,22% frente a la meta planteada. El resultado del indicador a la fecha de corte es adecuada y no presenta observaciones.</t>
  </si>
  <si>
    <r>
      <rPr>
        <b/>
        <sz val="7"/>
        <color theme="1"/>
        <rFont val="Arial"/>
        <family val="2"/>
      </rPr>
      <t xml:space="preserve">Trimestre 1: </t>
    </r>
    <r>
      <rPr>
        <sz val="7"/>
        <color theme="1"/>
        <rFont val="Arial"/>
        <family val="2"/>
      </rPr>
      <t xml:space="preserve">Para el primer trimestre, los resultados proyectados corresponden al seguimiento realizado al plan de trabajo para la implementación del Modelo Integrado de Planeación y Gestión - MIPG, de acuerdo con las actividades definidas y las ponderaciones de las mismas. Como acciones para la mejora, se plantea dar continuidad con las actividades definidas en el plan de trabajo, y la definición del plan de fortalecimiento.
</t>
    </r>
    <r>
      <rPr>
        <b/>
        <sz val="7"/>
        <color theme="1"/>
        <rFont val="Arial"/>
        <family val="2"/>
      </rPr>
      <t xml:space="preserve">Trimestre 2: </t>
    </r>
    <r>
      <rPr>
        <sz val="7"/>
        <color theme="1"/>
        <rFont val="Arial"/>
        <family val="2"/>
      </rPr>
      <t xml:space="preserve">Para el segundo trimestre los resultados proyectados corresponden al seguimiento realizado al plan de trabajo para la implementación del Modelo Integrado de Planeación y Gestión - MIPG, de acuerdo con las actividades definidas y las ponderaciones de las mismas. Se realizó el primer seguimiento a las acciones del Plan de Acción de la vigencia 2019  y se adelantó la actualización del Plan de Acción en su segunda versión realizando la solicitud de reporte en el mes de julio a todos los responsables, en materia de riesgos se realizó actualización a los riesgos de gestión de los procesos misionales y se contribuyó en la actualización de la política de riesgos del Canal. Frente al Comité Institucional de Gestión y Desempeño en el mes de mayo se realizó la primera reunión del Comité donde se revisaron los siguientes temas: presentación de la nueva plataforma estratégica, socialización de la circular 006 de 2019 de conformación del equipo de trabajo transversal del MIPG, balance del reporte FURAG II 2018-2019, balance de gestión de riesgos primer semestre de 2019 y estado de avance de la implementación del PIGA primer cuatrimestre de 2019. Igualmente se adelantaron las acciones enfocadas en la articulación de los resultados del FURAG II 2018-2019 con el plan de fortalecimiento institucional del Modelo convocando a reunión  a los diferentes responsables del equipo de trabajo transversal del MIPG para dicha articulación en el marco de la circular interna 006 de 2019 y se adelantó el ejercicio de caracterización de usuarios en con un 50% de avance.  Finalmente se adelantó la migración de la información a la nueva intranet de toda la información documental del Canal reorganizando dicha información asociada a los procesos de la entidad, en búsqueda de facilitar su consulta. 
</t>
    </r>
    <r>
      <rPr>
        <b/>
        <sz val="7"/>
        <color theme="1"/>
        <rFont val="Arial"/>
        <family val="2"/>
      </rPr>
      <t xml:space="preserve">Trimestre 3: </t>
    </r>
    <r>
      <rPr>
        <sz val="7"/>
        <color theme="1"/>
        <rFont val="Arial"/>
        <family val="2"/>
      </rPr>
      <t xml:space="preserve">Para el tercer trimestre se dio continuidad en el seguimiento y reporte al Plan de Acción Institucional cuya tercera versión y solicitud se realizó en el mes de octubre, en el mes de junio se realizó la actualización de los riesgos ambientales y de seguridad y salud en el trabajo, así mismo, frente a la temática de riesgos se realizó la actualización de la política de administración de riesgos y se avanzó en la actualización del manual metodológico de administración del riesgo con base en los lineamientos definidos por la Función Pública. Por otro lado, el 26 de agosto se suscribió el contrato de transformación digital con la firma consultora Holding Digital el cual ya cuenta con un primer avance asociado con la fase exploratoria del proyecto o georreferenciación. Igualmente se  formuló el Plan de Fortalecimiento Institucional de acuerdo a los resultados del FURAG y se han realizado dos seguimientos a sus avances; finalmente es importante mencionar que se realizó la segunda reunión del CIGD donde se presentaron los resultados de  la gestión del segundo trimestre del año en el marco del MIPG.
</t>
    </r>
    <r>
      <rPr>
        <b/>
        <sz val="7"/>
        <color theme="1"/>
        <rFont val="Arial"/>
        <family val="2"/>
      </rPr>
      <t>Trimestre 4:</t>
    </r>
    <r>
      <rPr>
        <sz val="7"/>
        <color theme="1"/>
        <rFont val="Arial"/>
        <family val="2"/>
      </rPr>
      <t xml:space="preserve"> Con corte al 31 de diciembre de 2019 se completó un avance del 88.76% de las actividades definidas en el plan de trabajo, resaltando para el último trimestre los avances en materia de la implementación del proyecto de transformación digital, la realización del tercer comité institucional de gestión y desempeño, la actualización de la metodología para la gestión de riesgos y la caracterización de usuarios. Los resultados para el mismo se encuentran descritos en el documento “Seguimiento al plan de trabajo MIPG”. Los retrasos identificados en el cumplimiento de las acciones propuestas obedecen, entre otros factores, a la revisión de los riesgos de los procesos institucionales, la implementación de los resultados del proyecto de transformación digital y a que quedó pendiente la realización de un espacio del Comité Institucional de Gestión y Desempeño – CIGD; actividades que serán tenidas en cuenta para la definición del plan de trabajo del 2020.</t>
    </r>
  </si>
  <si>
    <r>
      <rPr>
        <b/>
        <sz val="7"/>
        <color theme="1"/>
        <rFont val="Arial"/>
        <family val="2"/>
      </rPr>
      <t>Trimestre 1:</t>
    </r>
    <r>
      <rPr>
        <sz val="7"/>
        <color theme="1"/>
        <rFont val="Arial"/>
        <family val="2"/>
      </rPr>
      <t xml:space="preserve"> Durante el primer trimestre de 2019, se vio reflejado un promedio estable por debajo de las 4.000 personas, se hicieron cambios de horarios en la parrilla y reorganización de los contenidos. La emisión más vista fue: Opina Bogotá del 02 de enero con 48.500 personas
</t>
    </r>
    <r>
      <rPr>
        <b/>
        <sz val="7"/>
        <color theme="1"/>
        <rFont val="Arial"/>
        <family val="2"/>
      </rPr>
      <t xml:space="preserve">Trimestre 2: </t>
    </r>
    <r>
      <rPr>
        <sz val="7"/>
        <color theme="1"/>
        <rFont val="Arial"/>
        <family val="2"/>
      </rPr>
      <t xml:space="preserve">Durante el segundo trimestre de 2019, se observaron crecimientos importantes en el rating de mayo y junio gracias a emisiones de eventos como Rock al parque además de ajustes en la programación. La emisión más vista fue: Ellas dicen del 29 de junio con 54.740 personas
</t>
    </r>
    <r>
      <rPr>
        <b/>
        <sz val="7"/>
        <color theme="1"/>
        <rFont val="Arial"/>
        <family val="2"/>
      </rPr>
      <t xml:space="preserve">Trimestre 3: </t>
    </r>
    <r>
      <rPr>
        <sz val="7"/>
        <color theme="1"/>
        <rFont val="Arial"/>
        <family val="2"/>
      </rPr>
      <t xml:space="preserve">Durante el tercer trimestre de 2019, se registraron crecimientos importantes en el rating de Julio, agosto y septiembre gracias a emisiones de eventos como Rock al parque, el desfile del 20 de Julio, Festival de verano, Despierta Bogotá, entre otros. La emisión más vista fue: El desfile del 20 de julio con 141.570 personas.
</t>
    </r>
    <r>
      <rPr>
        <b/>
        <sz val="7"/>
        <color theme="1"/>
        <rFont val="Arial"/>
        <family val="2"/>
      </rPr>
      <t xml:space="preserve">Trimestre 4: </t>
    </r>
    <r>
      <rPr>
        <sz val="7"/>
        <color theme="1"/>
        <rFont val="Arial"/>
        <family val="2"/>
      </rPr>
      <t>Durante el cuarto trimestre de 2019, se registraron crecimientos importantes en el rating principalmente de Noviembre gracias al cubrimiento del Paro Nacional y en Diciembre a los estrenos de los proyectos financiados por la CRC y por los eventos especiales. La emisión más vista fue: Alocución Presidencial - Paro Nacional 22N el 22 de Noviembre con 121.450 personas.</t>
    </r>
  </si>
  <si>
    <r>
      <rPr>
        <b/>
        <sz val="7"/>
        <color theme="1"/>
        <rFont val="Arial"/>
        <family val="2"/>
      </rPr>
      <t xml:space="preserve">Trimestre 1:  </t>
    </r>
    <r>
      <rPr>
        <sz val="7"/>
        <color theme="1"/>
        <rFont val="Arial"/>
        <family val="2"/>
      </rPr>
      <t xml:space="preserve">Los anteriores datos son tomados del informe entregado trimestralmente a la ANTV. Contamos con 515 emisiones de programas con contenido infantil.
</t>
    </r>
    <r>
      <rPr>
        <b/>
        <sz val="7"/>
        <color theme="1"/>
        <rFont val="Arial"/>
        <family val="2"/>
      </rPr>
      <t xml:space="preserve">Trimestre 2: </t>
    </r>
    <r>
      <rPr>
        <sz val="7"/>
        <color theme="1"/>
        <rFont val="Arial"/>
        <family val="2"/>
      </rPr>
      <t xml:space="preserve">Los anteriores datos son tomados del informe entregado trimestralmente a la ANTV. En el segundo trimestre Contamos con 1.547 emisiones de programas con contenido infantil que equivalen a 120 horas de programación.
</t>
    </r>
    <r>
      <rPr>
        <b/>
        <sz val="7"/>
        <color theme="1"/>
        <rFont val="Arial"/>
        <family val="2"/>
      </rPr>
      <t>Trimestre 3:</t>
    </r>
    <r>
      <rPr>
        <sz val="7"/>
        <color theme="1"/>
        <rFont val="Arial"/>
        <family val="2"/>
      </rPr>
      <t xml:space="preserve"> Los anteriores datos son tomados del informe entregado trimestralmente a la ANTV. Contamos con  796 emisiones de programas con contenido infantil que equivalen a 103 horas de programación.
</t>
    </r>
    <r>
      <rPr>
        <b/>
        <sz val="7"/>
        <color theme="1"/>
        <rFont val="Arial"/>
        <family val="2"/>
      </rPr>
      <t>Trimestre 4:</t>
    </r>
    <r>
      <rPr>
        <sz val="7"/>
        <color theme="1"/>
        <rFont val="Arial"/>
        <family val="2"/>
      </rPr>
      <t xml:space="preserve"> Los anteriores datos son tomados del informe entregado trimestralmente a la ANTV. Contamos con  466 emisiones de programas con contenido infantil que equivalen a 91horas de programación.</t>
    </r>
  </si>
  <si>
    <r>
      <rPr>
        <b/>
        <sz val="7"/>
        <color theme="1"/>
        <rFont val="Arial"/>
        <family val="2"/>
      </rPr>
      <t xml:space="preserve">Trimestre 1: </t>
    </r>
    <r>
      <rPr>
        <sz val="7"/>
        <color theme="1"/>
        <rFont val="Arial"/>
        <family val="2"/>
      </rPr>
      <t xml:space="preserve">Los anteriores datos son tomados del informe entregado trimestralmente a la ANTV. Contamos con 1949 emisiones de programas con contenido juvenil.
</t>
    </r>
    <r>
      <rPr>
        <b/>
        <sz val="7"/>
        <color theme="1"/>
        <rFont val="Arial"/>
        <family val="2"/>
      </rPr>
      <t xml:space="preserve">Trimestre 2: </t>
    </r>
    <r>
      <rPr>
        <sz val="7"/>
        <color theme="1"/>
        <rFont val="Arial"/>
        <family val="2"/>
      </rPr>
      <t xml:space="preserve">Los anteriores datos son tomados del informe entregado trimestralmente a la ANTV. Para el segundo trimestre contamos con 759 emisiones de programas con contenido juvenil que equivalen a 165 horas de programación.
</t>
    </r>
    <r>
      <rPr>
        <b/>
        <sz val="7"/>
        <color theme="1"/>
        <rFont val="Arial"/>
        <family val="2"/>
      </rPr>
      <t>Trimestre 3:</t>
    </r>
    <r>
      <rPr>
        <sz val="7"/>
        <color theme="1"/>
        <rFont val="Arial"/>
        <family val="2"/>
      </rPr>
      <t xml:space="preserve"> Los anteriores datos son tomados del informe entregado trimestralmente a la ANTV. Contamos con  1.472 emisiones de programas con contenido juvenil que equivalen a 190 horas de programación.
</t>
    </r>
    <r>
      <rPr>
        <b/>
        <sz val="7"/>
        <color theme="1"/>
        <rFont val="Arial"/>
        <family val="2"/>
      </rPr>
      <t>Trimestre 4:</t>
    </r>
    <r>
      <rPr>
        <sz val="7"/>
        <color theme="1"/>
        <rFont val="Arial"/>
        <family val="2"/>
      </rPr>
      <t xml:space="preserve"> Los anteriores datos son tomados del informe entregado trimestralmente a la ANTV. Contamos con  757 emisiones de programas con contenido juvenil que equivalen a 124 horas de programación.</t>
    </r>
  </si>
  <si>
    <r>
      <rPr>
        <b/>
        <sz val="7"/>
        <color theme="1"/>
        <rFont val="Arial"/>
        <family val="2"/>
      </rPr>
      <t>Trimestre 1:</t>
    </r>
    <r>
      <rPr>
        <sz val="7"/>
        <color theme="1"/>
        <rFont val="Arial"/>
        <family val="2"/>
      </rPr>
      <t xml:space="preserve"> Los anteriores datos son tomados del informe entregado trimestralmente a la ANTV. Contamos con 584 emisiones de programas con interpretación de lenguaje de señas.
</t>
    </r>
    <r>
      <rPr>
        <b/>
        <sz val="7"/>
        <color theme="1"/>
        <rFont val="Arial"/>
        <family val="2"/>
      </rPr>
      <t>Trimestre 2:</t>
    </r>
    <r>
      <rPr>
        <sz val="7"/>
        <color theme="1"/>
        <rFont val="Arial"/>
        <family val="2"/>
      </rPr>
      <t xml:space="preserve"> Para el trimestre 2, contamos con 1073 emisiones de programas con interpretación de lenguaje de señas que equivalen a 94 horas.
</t>
    </r>
    <r>
      <rPr>
        <b/>
        <sz val="7"/>
        <color theme="1"/>
        <rFont val="Arial"/>
        <family val="2"/>
      </rPr>
      <t>Trimestre 3:</t>
    </r>
    <r>
      <rPr>
        <sz val="7"/>
        <color theme="1"/>
        <rFont val="Arial"/>
        <family val="2"/>
      </rPr>
      <t xml:space="preserve"> Los anteriores datos son tomados del informe entregado trimestralmente a la ANTV. Contamos con 352 emisiones de programas con interpretación de lenguaje de señas que equivalen a 34 horas. 
</t>
    </r>
    <r>
      <rPr>
        <b/>
        <sz val="7"/>
        <color theme="1"/>
        <rFont val="Arial"/>
        <family val="2"/>
      </rPr>
      <t xml:space="preserve">Trimestre 4: </t>
    </r>
    <r>
      <rPr>
        <sz val="7"/>
        <color theme="1"/>
        <rFont val="Arial"/>
        <family val="2"/>
      </rPr>
      <t xml:space="preserve">Los anteriores datos son tomados del informe entregado trimestralmente a la ANTV. Contamos con 436 emisiones de programas con interpretación de lenguaje de señas que equivalen a 61 horas. </t>
    </r>
  </si>
  <si>
    <r>
      <rPr>
        <b/>
        <sz val="7"/>
        <color theme="1"/>
        <rFont val="Arial"/>
        <family val="2"/>
      </rPr>
      <t xml:space="preserve">Trimestre 1: </t>
    </r>
    <r>
      <rPr>
        <sz val="7"/>
        <color theme="1"/>
        <rFont val="Arial"/>
        <family val="2"/>
      </rPr>
      <t xml:space="preserve">Para el primer trimestre, logramos consolidar 3.060.410 usuarios únicos que han consumido los contenidos del plan de inversión 2019.
</t>
    </r>
    <r>
      <rPr>
        <b/>
        <sz val="7"/>
        <color theme="1"/>
        <rFont val="Arial"/>
        <family val="2"/>
      </rPr>
      <t>Trimestre 2:</t>
    </r>
    <r>
      <rPr>
        <sz val="7"/>
        <color theme="1"/>
        <rFont val="Arial"/>
        <family val="2"/>
      </rPr>
      <t xml:space="preserve"> Para el segundo trimestre, logramos consolidar 4.419.700 usuarios únicos que han consumido los contenidos del plan de inversión 2019.
</t>
    </r>
    <r>
      <rPr>
        <b/>
        <sz val="7"/>
        <color theme="1"/>
        <rFont val="Arial"/>
        <family val="2"/>
      </rPr>
      <t xml:space="preserve">Trimestre 3: </t>
    </r>
    <r>
      <rPr>
        <sz val="7"/>
        <color theme="1"/>
        <rFont val="Arial"/>
        <family val="2"/>
      </rPr>
      <t xml:space="preserve">Para el tercer trimestre, logramos consolidar 5.776.160 usuarios únicos que han consumido los contenidos del plan de inversión 2019.
</t>
    </r>
    <r>
      <rPr>
        <b/>
        <sz val="7"/>
        <color theme="1"/>
        <rFont val="Arial"/>
        <family val="2"/>
      </rPr>
      <t xml:space="preserve">Trimestre 4: </t>
    </r>
    <r>
      <rPr>
        <sz val="7"/>
        <color theme="1"/>
        <rFont val="Arial"/>
        <family val="2"/>
      </rPr>
      <t>Para el periodo analizado, logramos consolidar 6.213.610 usuarios únicos que han consumido los contenidos del plan de inversión 2019.</t>
    </r>
  </si>
  <si>
    <r>
      <rPr>
        <b/>
        <sz val="7"/>
        <color theme="1"/>
        <rFont val="Arial"/>
        <family val="2"/>
      </rPr>
      <t xml:space="preserve">Semestre 1: </t>
    </r>
    <r>
      <rPr>
        <sz val="7"/>
        <color theme="1"/>
        <rFont val="Arial"/>
        <family val="2"/>
      </rPr>
      <t xml:space="preserve">Teniendo en cuenta que la emisión de los proyectos especiales está proyectada por parte de producción para darse en el último trimestre de 2019, para este informe el total de emisiones es 0.
</t>
    </r>
    <r>
      <rPr>
        <b/>
        <sz val="7"/>
        <color theme="1"/>
        <rFont val="Arial"/>
        <family val="2"/>
      </rPr>
      <t xml:space="preserve">Semestre 2: </t>
    </r>
    <r>
      <rPr>
        <sz val="7"/>
        <color theme="1"/>
        <rFont val="Arial"/>
        <family val="2"/>
      </rPr>
      <t>Para el periodo analizado, logramos consolidar 216.216  usuarios únicos por proyecto en promedio que han consumido los Proyectos especiales 2019.</t>
    </r>
  </si>
  <si>
    <r>
      <rPr>
        <b/>
        <sz val="7"/>
        <rFont val="Arial"/>
        <family val="2"/>
      </rPr>
      <t>Trimestre 1:</t>
    </r>
    <r>
      <rPr>
        <sz val="7"/>
        <rFont val="Arial"/>
        <family val="2"/>
      </rPr>
      <t xml:space="preserve"> Para este primer periodo los rendimientos  financieros ascienden al 11% del total proyectados.  Las cuenta de ahorros mantuvieron una tasa promedio del 3.0% E.A. Es de anotar que los rendimientos financieros fueron mayores, teniendo en cuenta los recursos que ingresaron por transferencias de la Secretaría de Hacienda al inicio de vigencia actual.
</t>
    </r>
    <r>
      <rPr>
        <b/>
        <sz val="7"/>
        <rFont val="Arial"/>
        <family val="2"/>
      </rPr>
      <t xml:space="preserve">Trimestre 2: </t>
    </r>
    <r>
      <rPr>
        <sz val="7"/>
        <rFont val="Arial"/>
        <family val="2"/>
      </rPr>
      <t xml:space="preserve">En el segundo trimestre observamos un aumento del 19% ocasionados en mayor parte por los rendimientos generados  en el mes de junio por la redención del CDT constituido la entidad financiera Davivienda, las  cuentas de ahorro presentaron un crecimiento constante del 1%.
</t>
    </r>
    <r>
      <rPr>
        <b/>
        <sz val="7"/>
        <rFont val="Arial"/>
        <family val="2"/>
      </rPr>
      <t>Trimestre 3:</t>
    </r>
    <r>
      <rPr>
        <sz val="7"/>
        <rFont val="Arial"/>
        <family val="2"/>
      </rPr>
      <t xml:space="preserve"> A 30 de septiembre de 2019, se obtuvieron unos rendimientos financieros acumulados por $385 millones, es decir, un cumplimiento del 104,16% de la meta presupuestal proyectada para la vigencia. En el mes de julio y agosto se recibieron rendimientos financieros por valor de $230,2 millones, con ocasión a la redención de CDTs constituidos con las entidades financieras BBVA y Caja Social.  Adicionalmente, las cuentas de ahorros del canal generaron unos rendimientos de $39,8 millones. 
</t>
    </r>
    <r>
      <rPr>
        <b/>
        <sz val="7"/>
        <rFont val="Arial"/>
        <family val="2"/>
      </rPr>
      <t xml:space="preserve">Trimestre 4: </t>
    </r>
    <r>
      <rPr>
        <sz val="7"/>
        <rFont val="Arial"/>
        <family val="2"/>
      </rPr>
      <t>En el último trimestre los rendimientos adicionales corresponden  al vencimiento de un CDT, con la entidad financiera Banco BBVA, el cuál genero réditos acumulados de $37.933. Las cuentas de ahorro manejaron  tasas de interese promedio del  2,75%. El acumulado en rendimientos fue superior al proyectado en un 123%.</t>
    </r>
  </si>
  <si>
    <r>
      <rPr>
        <b/>
        <sz val="7"/>
        <rFont val="Arial"/>
        <family val="2"/>
      </rPr>
      <t xml:space="preserve">Trimestre 1: </t>
    </r>
    <r>
      <rPr>
        <sz val="7"/>
        <rFont val="Arial"/>
        <family val="2"/>
      </rPr>
      <t xml:space="preserve">En lo corrido de la presente vigencia se evidencia un incremento paulatino de los acreedores los cuales cuentan con el respaldo adecuado en los saldos de los activos detallados en los Estados Financieros; interpretando que Canal Capital tiene el apalancamiento financiero adecuado de 21,74% para el pago de las obligaciones de manera óptima, sin afectar el normal funcionamiento de la Entidad.
</t>
    </r>
    <r>
      <rPr>
        <b/>
        <sz val="7"/>
        <rFont val="Arial"/>
        <family val="2"/>
      </rPr>
      <t xml:space="preserve">Trimestre 2: </t>
    </r>
    <r>
      <rPr>
        <sz val="7"/>
        <rFont val="Arial"/>
        <family val="2"/>
      </rPr>
      <t xml:space="preserve">La entidad para el cierre del trimestre presentó un porcentaje de nivel de endeudamiento del 33%, lo que indica que la capacidad de pago es eficiente y el respaldo a corto plazo se encuentra disponible dentro del activo.
</t>
    </r>
    <r>
      <rPr>
        <b/>
        <sz val="7"/>
        <rFont val="Arial"/>
        <family val="2"/>
      </rPr>
      <t xml:space="preserve">Trimestre 3: </t>
    </r>
    <r>
      <rPr>
        <sz val="7"/>
        <rFont val="Arial"/>
        <family val="2"/>
      </rPr>
      <t xml:space="preserve">En el transcurso del año este indicador ha presentado un incremento, siendo este un indicador satisfactorio para el Canal, teniendo en cuenta que para el cierre del período de septiembre el 39,08% corresponde a la participación que tiene los acreedores sobre los activos del Canal, lo cual indica la capacidad de pago y respaldo de las deudas con terceros. 
</t>
    </r>
    <r>
      <rPr>
        <b/>
        <sz val="7"/>
        <rFont val="Arial"/>
        <family val="2"/>
      </rPr>
      <t xml:space="preserve">Trimestre 4: </t>
    </r>
    <r>
      <rPr>
        <sz val="7"/>
        <rFont val="Arial"/>
        <family val="2"/>
      </rPr>
      <t xml:space="preserve">En el ultimo trimestre del año este indicador genero una disminución significativa cerrando la vigencia fiscal con un resultado de 21,75% mostrando que el Canal tiene la liquidez suficiente para cubrir los pasivos con terceros. Durante lo corrido del año se observa que este indicador fue positivo, lo que indica que el Canal tuvo el apalancamiento adecuado para cubrir sus obligaciones. </t>
    </r>
  </si>
  <si>
    <r>
      <rPr>
        <b/>
        <sz val="7"/>
        <color theme="1"/>
        <rFont val="Arial"/>
        <family val="2"/>
      </rPr>
      <t xml:space="preserve">Trimestre 1: </t>
    </r>
    <r>
      <rPr>
        <sz val="7"/>
        <color theme="1"/>
        <rFont val="Arial"/>
        <family val="2"/>
      </rPr>
      <t xml:space="preserve">Canal Capital recibió ocho (8) peticiones y dos (2) proposiciones del Concejo de Bogotá durante el primer trimestre del año. Tanto las peticiones como las proposiciones fueron respondidas dentro de los términos de Ley establecidos.
</t>
    </r>
    <r>
      <rPr>
        <b/>
        <sz val="7"/>
        <color theme="1"/>
        <rFont val="Arial"/>
        <family val="2"/>
      </rPr>
      <t>Trimestre 2:</t>
    </r>
    <r>
      <rPr>
        <sz val="7"/>
        <color theme="1"/>
        <rFont val="Arial"/>
        <family val="2"/>
      </rPr>
      <t xml:space="preserve"> Canal Capital recibió seis (6) peticiones y dos (2) proposiciones del Concejo de Bogotá durante el segundo trimestre del año. Tanto las peticiones como las proposiciones fueron respondidas dentro de los términos de Ley establecidos.
</t>
    </r>
    <r>
      <rPr>
        <b/>
        <sz val="7"/>
        <color theme="1"/>
        <rFont val="Arial"/>
        <family val="2"/>
      </rPr>
      <t xml:space="preserve">Trimestre 3: </t>
    </r>
    <r>
      <rPr>
        <sz val="7"/>
        <color theme="1"/>
        <rFont val="Arial"/>
        <family val="2"/>
      </rPr>
      <t xml:space="preserve">Canal Capital recibió seis (6) peticiones y tres (3) proposiciones del Concejo de Bogotá durante el tercer trimestre del año. Tanto las peticiones como las proposiciones fueron respondidas dentro de los términos de Ley establecidos.
</t>
    </r>
    <r>
      <rPr>
        <b/>
        <sz val="7"/>
        <color theme="1"/>
        <rFont val="Arial"/>
        <family val="2"/>
      </rPr>
      <t xml:space="preserve">Trimestre 4: </t>
    </r>
    <r>
      <rPr>
        <sz val="7"/>
        <color theme="1"/>
        <rFont val="Arial"/>
        <family val="2"/>
      </rPr>
      <t>Canal Capital recibió seis (6) peticiones del Concejo de Bogotá durante el cuarto trimestre del año. Las mismas fueron respondidas dentro de los términos de ley establecidos.</t>
    </r>
  </si>
  <si>
    <r>
      <rPr>
        <b/>
        <sz val="7"/>
        <color theme="1"/>
        <rFont val="Arial"/>
        <family val="2"/>
      </rPr>
      <t xml:space="preserve">Trimestre 1: </t>
    </r>
    <r>
      <rPr>
        <sz val="7"/>
        <color theme="1"/>
        <rFont val="Arial"/>
        <family val="2"/>
      </rPr>
      <t xml:space="preserve"> Para el primer trimestre del año, se contrató el personal que produce y emite el Sistema Informativo, lo mismo que para las transmisiones educativas y culturales. Para Valores ciudadanos se contratará por medio de convocatorias públicas, las cuales se encuentran en proceso y se espera su adjudicación y contratación para el segundo trimestre.
</t>
    </r>
    <r>
      <rPr>
        <b/>
        <sz val="7"/>
        <color theme="1"/>
        <rFont val="Arial"/>
        <family val="2"/>
      </rPr>
      <t xml:space="preserve">Trimestre 2: </t>
    </r>
    <r>
      <rPr>
        <sz val="7"/>
        <color theme="1"/>
        <rFont val="Arial"/>
        <family val="2"/>
      </rPr>
      <t xml:space="preserve">Para el segundo trimestre, se continuó con las convocatorias para Valores ciudadanos de las cuales se adjudicaron una de minorías y dos líneas de valores, se encuentra en diseño con nuevas temáticas para las convocatorias que se declararon desiertas. Por otra parte, se recibieron las Resoluciones de la ANTV para proyectos especiales y Plan de inversión adicional que se ejecutarán en el segundo semestre.
</t>
    </r>
    <r>
      <rPr>
        <b/>
        <sz val="7"/>
        <color theme="1"/>
        <rFont val="Arial"/>
        <family val="2"/>
      </rPr>
      <t>Trimestre 3:</t>
    </r>
    <r>
      <rPr>
        <sz val="7"/>
        <color theme="1"/>
        <rFont val="Arial"/>
        <family val="2"/>
      </rPr>
      <t xml:space="preserve"> En el tercer trimestre se adicionan recursos de las resoluciones 0590 y 0591 modificada por la 0845, para las líneas de programación e infraestructura. Se modificaron convocatorias que fueron declaradas desiertas y se continúa con la producción y emisión de transmisiones y el sistema informativo, de la misma forma comienzan emisiones de las convocatorias adjudicadas, para el último periodo se espera cumplir con los cronogramas de producción y emisión, lo mismo que la adquisición de equipos financiados con recursos de la ANTV.
</t>
    </r>
    <r>
      <rPr>
        <b/>
        <sz val="7"/>
        <color theme="1"/>
        <rFont val="Arial"/>
        <family val="2"/>
      </rPr>
      <t>Trimestre 4:</t>
    </r>
    <r>
      <rPr>
        <sz val="7"/>
        <color theme="1"/>
        <rFont val="Arial"/>
        <family val="2"/>
      </rPr>
      <t xml:space="preserve"> En el último trimestre se elaboran las adiciones contractuales para lograr el cumplimiento de la meta de las transmisiones sobretodo al fin de año. Por otra parte se reciben los programas y se cumple con el cronograma de producción y de emisión, alcanzando la meta plan de desarrollo. Se adquieren los equipos proyectados en el plan de inversión adicional los cuales fueron recibidos a satisfacción.</t>
    </r>
  </si>
  <si>
    <r>
      <rPr>
        <b/>
        <sz val="7"/>
        <color theme="1"/>
        <rFont val="Arial"/>
        <family val="2"/>
      </rPr>
      <t xml:space="preserve">Trimestre 1: </t>
    </r>
    <r>
      <rPr>
        <sz val="7"/>
        <color theme="1"/>
        <rFont val="Arial"/>
        <family val="2"/>
      </rPr>
      <t xml:space="preserve">En el primer periodo se ejecutó el 53% de los recursos de los proyectos de la Autoridad Nacional de Televisión quedando pendiente la contratación de los contenidos que se ejecutarán por convocatorias. En Modernización institucional se ejecutó el 64% de los recursos. Para el tercer periodo se espera realizar la contratación de los últimos 4 meses del personal para producción propia de los proyectos de ANTV, lo mismo que del que ejecutará la transición del SIG al MIPG en Modernización institucional.
</t>
    </r>
    <r>
      <rPr>
        <b/>
        <sz val="7"/>
        <color theme="1"/>
        <rFont val="Arial"/>
        <family val="2"/>
      </rPr>
      <t>Trimestre 2:</t>
    </r>
    <r>
      <rPr>
        <sz val="7"/>
        <color theme="1"/>
        <rFont val="Arial"/>
        <family val="2"/>
      </rPr>
      <t xml:space="preserve"> En el segundo trimestre se realizaron contrataciones de convocatorias y otros contratos en los proyectos de Televisión pública y Modernización Institucional, para el próximo trimestre se espera la contratación de las adiciones de los contratos suscritos en enero, con lo que se espera alcanzar un nivel óptimo en la ejecución de los proyectos de inversión.
</t>
    </r>
    <r>
      <rPr>
        <b/>
        <sz val="7"/>
        <color theme="1"/>
        <rFont val="Arial"/>
        <family val="2"/>
      </rPr>
      <t>Trimestre 3:</t>
    </r>
    <r>
      <rPr>
        <sz val="7"/>
        <color theme="1"/>
        <rFont val="Arial"/>
        <family val="2"/>
      </rPr>
      <t xml:space="preserve"> En el tercer periodo se realizaron las contrataciones correspondientes a las adiciones de los contratos del primer trimestre, lo mismo que de las convocatorias adjudicadas y contratación directa de los proyectos especiales de la ANTV, adicionalmente se contrató el software de archivo del proyecto de Modernización Administrativa.
</t>
    </r>
    <r>
      <rPr>
        <b/>
        <sz val="7"/>
        <color theme="1"/>
        <rFont val="Arial"/>
        <family val="2"/>
      </rPr>
      <t>Trimestre 4:</t>
    </r>
    <r>
      <rPr>
        <sz val="7"/>
        <color theme="1"/>
        <rFont val="Arial"/>
        <family val="2"/>
      </rPr>
      <t xml:space="preserve"> En el cuarto período se realizó contratación de adiciones para las transmisiones de fin de año con lo cual se alcanzan metas de producción y emisión de programas, lo mismo que en los proyectos de modernización administrativa e infraestructura donde se contrató la adquisición de equipos programados en el plan de inversión adicional.  </t>
    </r>
  </si>
  <si>
    <r>
      <rPr>
        <b/>
        <sz val="7"/>
        <color theme="1"/>
        <rFont val="Arial"/>
        <family val="2"/>
      </rPr>
      <t xml:space="preserve">Trimestre 1: </t>
    </r>
    <r>
      <rPr>
        <sz val="7"/>
        <color theme="1"/>
        <rFont val="Arial"/>
        <family val="2"/>
      </rPr>
      <t xml:space="preserve">Para el primer trimestre, los resultados proyectados corresponden al seguimiento realizado al plan de trabajo para la implementación del proyecto de transformación digital, de acuerdo con las actividades definidas y las ponderaciones de las mismas. De manera general, se cuenta con los siguientes avances:
 1. Se llevó a cabo estudio de mercado así: Acercamiento en mesas de trabajo con 3 empresas consultoras para tener una primera aproximación del alcance del proyecto, se elaboró documento con los criterios requeridos para el proyecto y se solicitó cotización formal a 6 empresas. Se publicó banner en página web para realizar invitación pública al estudio de mercado, con esto se logró la participación de una empresa adicional.
2. Se realizó presentación ante gerencia con el balance del estudio de mercado, se definió solicitar hoja de vida empresarial y del equipo consultor a las empresas ioPMO y Holding Digital con el fin de tomar una decisión definitiva.
3. Se adelanta versión borrador del estudio previo.
</t>
    </r>
    <r>
      <rPr>
        <b/>
        <sz val="7"/>
        <color theme="1"/>
        <rFont val="Arial"/>
        <family val="2"/>
      </rPr>
      <t>Trimestre 2:</t>
    </r>
    <r>
      <rPr>
        <sz val="7"/>
        <color theme="1"/>
        <rFont val="Arial"/>
        <family val="2"/>
      </rPr>
      <t xml:space="preserve"> Para el segundo trimestre,  se adelantaron las siguientes actividades de acuerdo con el plan de trabajo:
1. Se definió que la mejor propuesta era la de la firma Holding Digital, se requirió la documentación correspondiente para iniciar el trámite contractual.
2. Por dificultades de tipo presupuestal durante el segundo trimestre no fue posible realizar la contratación. Con el fin de mitigar el riesgo presupuestal, se gestionaron acercamientos con el Ministerio de Tecnologías de la Información y las Comunicaciones, así como con el Centro de Transformación Digital de la Cámara de Comercio de Bogotá con el fin de buscar la financiación a través de dichas entidades, no obstante la respuesta fue negativa. Continuamos realizando las gestiones ante Secretaria de Hacienda para lograr la consecución de los recursos correspondientes.
</t>
    </r>
    <r>
      <rPr>
        <b/>
        <sz val="7"/>
        <color theme="1"/>
        <rFont val="Arial"/>
        <family val="2"/>
      </rPr>
      <t>Trimestre 3:</t>
    </r>
    <r>
      <rPr>
        <sz val="7"/>
        <color theme="1"/>
        <rFont val="Arial"/>
        <family val="2"/>
      </rPr>
      <t xml:space="preserve"> Para el tercer trimestre, se adelantaron las siguientes actividades de acuerdo con el plan de trabajo:
1. Se firmó el contrato con la firma consultora Holding Digital el 26 de agosto.
2. Una vez firmado el contrato se procedió con la elaboración y aprobación del plan de trabajo de acuerdo con las condiciones pactadas en el contrato, actividad que se llevó a cabo durante la primera semana de septiembre.
3. Se realizó la recolección de la información requerida por el equipo consultor para iniciar el análisis correspondiente. Se iniciaron las entrevistas a los colaboradores del canal que se identificaron relevantes en el proyecto. Se realizó kickoff del proyecto ante el comité directivo y jornada inicial de sensibilización en el marco de la jornada de reinducción.
</t>
    </r>
    <r>
      <rPr>
        <b/>
        <sz val="7"/>
        <color theme="1"/>
        <rFont val="Arial"/>
        <family val="2"/>
      </rPr>
      <t xml:space="preserve">Trimestre 4: </t>
    </r>
    <r>
      <rPr>
        <sz val="7"/>
        <color theme="1"/>
        <rFont val="Arial"/>
        <family val="2"/>
      </rPr>
      <t>Para el cuarto trimestre, se logró un avance del 80% de acuerdo con el plan de trabajo, de la siguiente manera: En la última fase, y a partir de la información recolectada, se estableció un plan de acción que permita generar transformaciones de fondo en los procesos que componen la arquitectura institucional de Canal Capital en consonancia con la plataforma estratégica propuesta; bajo la misma línea, se propuso un nuevo modelo de gobernanza y gestión para entidad que refuercen el enfoque digital en todos los niveles de toma de decisiones públicas. Por último se presentó el plan de comunicaciones internas y externas como complemento fundamental de las demás acciones a ejecutar. Queda pendiente el desarrollo de la fase de implementación, de acuerdo con las etapas programadas en el proyecto, una vez se analicen los resultados del mismo por parte de la alta dirección.</t>
    </r>
  </si>
  <si>
    <r>
      <rPr>
        <b/>
        <sz val="7"/>
        <color theme="1"/>
        <rFont val="Arial"/>
        <family val="2"/>
      </rPr>
      <t xml:space="preserve">Trimestre 1: </t>
    </r>
    <r>
      <rPr>
        <sz val="7"/>
        <color theme="1"/>
        <rFont val="Arial"/>
        <family val="2"/>
      </rPr>
      <t xml:space="preserve">Para el primer trimestre, de acuerdo con lo programado en el Plan Anual de Adquisiciones y con modificaciones al plan en gastos de operación de acuerdo con lo reportado por la Dirección Operativa, lo mismo que en funcionamiento e inversión aprobadas por la Secretaría General, la siguiente es la ejecución en el primer trimestre: Funcionamiento 31,0%; Gastos de Operación 38,2%; Inversión 54,0%.
</t>
    </r>
    <r>
      <rPr>
        <b/>
        <sz val="7"/>
        <color theme="1"/>
        <rFont val="Arial"/>
        <family val="2"/>
      </rPr>
      <t>Trimestre 2:</t>
    </r>
    <r>
      <rPr>
        <sz val="7"/>
        <color theme="1"/>
        <rFont val="Arial"/>
        <family val="2"/>
      </rPr>
      <t xml:space="preserve"> Para el segundo trimestre, de conformidad con lo programado, se realizaron modificaciones al plan de gastos, contratos que no se van a realizar que estaban programados al principio de la vigencia, de todos modos, la ejecución para el periodo es buena con un porcentaje de cumplimiento del 73%. el desglose por rubro es el siguiente: Funcionamiento 40,6%; Gastos de Operación 76,6%; Inversión 62,0%.
</t>
    </r>
    <r>
      <rPr>
        <b/>
        <sz val="7"/>
        <color theme="1"/>
        <rFont val="Arial"/>
        <family val="2"/>
      </rPr>
      <t>Trimestre 3:</t>
    </r>
    <r>
      <rPr>
        <sz val="7"/>
        <color theme="1"/>
        <rFont val="Arial"/>
        <family val="2"/>
      </rPr>
      <t xml:space="preserve"> Para el tercer trimestre se adicionaron recursos para los rubros de nuevos negocios así como de convenios interadministrativos como el de la EAAB. Por otra parte, se adicionaron los recursos provenientes de las resoluciones de la ANTV, en todos los casos la ejecución que se presenta es satisfactoria con un cumplimiento del 80,8% con el siguiente desglose: Funcionamiento 69,0% Gastos de Operación 79,7% Inversión 91,9%.
</t>
    </r>
    <r>
      <rPr>
        <b/>
        <sz val="7"/>
        <color theme="1"/>
        <rFont val="Arial"/>
        <family val="2"/>
      </rPr>
      <t>Trimestre 4:</t>
    </r>
    <r>
      <rPr>
        <sz val="7"/>
        <color theme="1"/>
        <rFont val="Arial"/>
        <family val="2"/>
      </rPr>
      <t xml:space="preserve"> En el último trimestre se adicionaron recursos para convenios interadministrativos y nuevos negocios, adicionalmente se terminaron las contrataciones para los proyectos de la ANTV y se cumplieron metas de contratación en los diferentes rubros, dando un resultado final de la siguiente forma: Funcionamiento 73,5% Gastos de Operación 93,6% Inversión 98,2%</t>
    </r>
  </si>
  <si>
    <r>
      <rPr>
        <b/>
        <sz val="7"/>
        <color theme="1"/>
        <rFont val="Arial"/>
        <family val="2"/>
      </rPr>
      <t>Trimestre 1:</t>
    </r>
    <r>
      <rPr>
        <sz val="7"/>
        <color theme="1"/>
        <rFont val="Arial"/>
        <family val="2"/>
      </rPr>
      <t xml:space="preserve"> Canal Capital completó un crecimiento superior a los 43.000 seguidores en los tres primeros meses del año. Este ritmo es estable respecto a anteriores periodos de tiempo. Principalmente, otras plataformas como YouTube o Twitter han adquirido mayor participación en el crecimiento.
</t>
    </r>
    <r>
      <rPr>
        <b/>
        <sz val="7"/>
        <color theme="1"/>
        <rFont val="Arial"/>
        <family val="2"/>
      </rPr>
      <t xml:space="preserve">Trimestre 2: </t>
    </r>
    <r>
      <rPr>
        <sz val="7"/>
        <color theme="1"/>
        <rFont val="Arial"/>
        <family val="2"/>
      </rPr>
      <t xml:space="preserve">En el segundo trimestre, Canal Capital continuó con la línea de crecimiento que ha tenido a lo largo del año 2019.
</t>
    </r>
    <r>
      <rPr>
        <b/>
        <sz val="7"/>
        <color theme="1"/>
        <rFont val="Arial"/>
        <family val="2"/>
      </rPr>
      <t xml:space="preserve">Trimestre 3: </t>
    </r>
    <r>
      <rPr>
        <sz val="7"/>
        <color theme="1"/>
        <rFont val="Arial"/>
        <family val="2"/>
      </rPr>
      <t xml:space="preserve">Los seguidores siguen en aumento en las redes de Canal Capital.
</t>
    </r>
    <r>
      <rPr>
        <b/>
        <sz val="7"/>
        <color theme="1"/>
        <rFont val="Arial"/>
        <family val="2"/>
      </rPr>
      <t xml:space="preserve">Trimestre 4: </t>
    </r>
    <r>
      <rPr>
        <sz val="7"/>
        <color theme="1"/>
        <rFont val="Arial"/>
        <family val="2"/>
      </rPr>
      <t xml:space="preserve">Se superó la meta planteada para el año.  </t>
    </r>
  </si>
  <si>
    <r>
      <rPr>
        <b/>
        <sz val="7"/>
        <color theme="1"/>
        <rFont val="Arial"/>
        <family val="2"/>
      </rPr>
      <t xml:space="preserve">Trimestre 1: </t>
    </r>
    <r>
      <rPr>
        <sz val="7"/>
        <color theme="1"/>
        <rFont val="Arial"/>
        <family val="2"/>
      </rPr>
      <t xml:space="preserve">Todas las publicaciones que han sido solicitada al área de prensa y comunicaciones han sido publicadas. 
</t>
    </r>
    <r>
      <rPr>
        <b/>
        <sz val="7"/>
        <color theme="1"/>
        <rFont val="Arial"/>
        <family val="2"/>
      </rPr>
      <t>Trimestre 2:</t>
    </r>
    <r>
      <rPr>
        <sz val="7"/>
        <color theme="1"/>
        <rFont val="Arial"/>
        <family val="2"/>
      </rPr>
      <t xml:space="preserve"> En el segundo trimestre, todas las publicaciones que han sido solicitadas por las diferentes áreas al área de prensa y comunicaciones han sido publicadas.
</t>
    </r>
    <r>
      <rPr>
        <b/>
        <sz val="7"/>
        <color theme="1"/>
        <rFont val="Arial"/>
        <family val="2"/>
      </rPr>
      <t xml:space="preserve">Trimestre 3: </t>
    </r>
    <r>
      <rPr>
        <sz val="7"/>
        <color theme="1"/>
        <rFont val="Arial"/>
        <family val="2"/>
      </rPr>
      <t xml:space="preserve">Todas las publicaciones requeridas por las diferentes áreas se han publicado. 
</t>
    </r>
    <r>
      <rPr>
        <b/>
        <sz val="7"/>
        <color theme="1"/>
        <rFont val="Arial"/>
        <family val="2"/>
      </rPr>
      <t>Trimestre 4:</t>
    </r>
    <r>
      <rPr>
        <sz val="7"/>
        <color theme="1"/>
        <rFont val="Arial"/>
        <family val="2"/>
      </rPr>
      <t xml:space="preserve"> Los requerimientos de las diferentes áreas fueron atendidos en su totalidad</t>
    </r>
  </si>
  <si>
    <r>
      <rPr>
        <b/>
        <sz val="7"/>
        <color theme="1"/>
        <rFont val="Arial"/>
        <family val="2"/>
      </rPr>
      <t>Trimestre 1:</t>
    </r>
    <r>
      <rPr>
        <sz val="7"/>
        <color theme="1"/>
        <rFont val="Arial"/>
        <family val="2"/>
      </rPr>
      <t xml:space="preserve"> En este primer trimestre de 2019, se tuvo en cuenta los convenios previamente firmados que cruzaban el año y que nos permitirían continuar con el cumplimiento de los objetivos propuestos, es así como se ha podido planear y programar las transmisiones especiales que se llevan a la fecha dando cumplimiento a transmisiones deportivas y culturales trazadas. Es importante resaltar que se ha trabajado y engranado al equipo para que piensen en ampliar el contenido de los eventos y transmisiones en las diferentes plataformas de información de Canal Capital. Se debe tener en cuenta para los primeros meses del año apoyarse en los convenios previamente firmados y aún más cuando cruzan de una año a otro porque permite hacer transmisiones especiales y generarle contenido al canal. 
</t>
    </r>
    <r>
      <rPr>
        <b/>
        <sz val="7"/>
        <color theme="1"/>
        <rFont val="Arial"/>
        <family val="2"/>
      </rPr>
      <t xml:space="preserve">Trimestre 2: </t>
    </r>
    <r>
      <rPr>
        <sz val="7"/>
        <color theme="1"/>
        <rFont val="Arial"/>
        <family val="2"/>
      </rPr>
      <t xml:space="preserve">En este segundo trimestre de 2019, se incrementó el número de transmisiones  debido a que paulatinamente han venido aumentando la dinámica misma de la programación cultural y deportiva de la ciudad, lo que hace que la dinámica de producción y transmisión  de eventos del Canal también aumente.
</t>
    </r>
    <r>
      <rPr>
        <b/>
        <sz val="7"/>
        <color theme="1"/>
        <rFont val="Arial"/>
        <family val="2"/>
      </rPr>
      <t xml:space="preserve">Trimestre 3: </t>
    </r>
    <r>
      <rPr>
        <sz val="7"/>
        <color theme="1"/>
        <rFont val="Arial"/>
        <family val="2"/>
      </rPr>
      <t xml:space="preserve">En el tercer trimestre de 2019 se realizaron 58 transmisiones adicionales al segundo trimestre para un total a corte del 30 de septiembre de 191 transmisiones, entre deportivas y culturales. Entre ellas se destacan: Los festivales al parque como Colombia al Parque, Salsa al Parque y Hip Hop al parque, más las transmisiones de los deportes como baloncesto, futbol, automovilismo, son de gran acogida por el público y deportes como el Rugby, futbol sala en silla de ruedas fueron novedosos para la programación de Canal Capital y cumplen con el objetivo de educativo y deportivo.
</t>
    </r>
    <r>
      <rPr>
        <b/>
        <sz val="7"/>
        <color theme="1"/>
        <rFont val="Arial"/>
        <family val="2"/>
      </rPr>
      <t xml:space="preserve">Trimestre 4: </t>
    </r>
    <r>
      <rPr>
        <sz val="7"/>
        <color theme="1"/>
        <rFont val="Arial"/>
        <family val="2"/>
      </rPr>
      <t>Con corte a 31 diciembre se realizaron y se cumplieron con los eventos y transmisiones culturales y deportivas. Entre ellas se destacaron los eventos Al Parque, transmisiones culturales realizados en el Teatro julio Mario Santo Domingo, Cine Concierto, Tchyminigagua, Vamos a la OFB, Lanzamiento de navidad, Noche de las Velitas, El Sueño de Isidro, Novenas de Navidad, y deportivos como Baloncesto, Liga de Futbol, Torneo Cerros, CNA,  Rotax Max Challenge, Concurso Nacional Ecuestre, eventos que fueron realizados en las localidades de la ciudad. Frente al periodo anterior la meta en promedio se mantuvo y se cumplieron con los convenios de deportes y cultura y se realizaron los eventos de navidad más relevantes para la época de diciembre lo que permitió acercar a los hogares capitalinos los eventos que tenia la ciudad. Se recomienda seguir con los convenios y acuerdos de colaboración para mantener la parrilla de programación actualizada.
Para la definición de acciones para 2020 y teniendo en cuenta el cambio de administración, se debe tener en principio claro la línea de ruta que vaya a tomar el canal en cuanto al contenido a poner en pantalla, y así mismo poder aplicar estos indicadores o modificarlos.</t>
    </r>
  </si>
  <si>
    <r>
      <rPr>
        <b/>
        <sz val="7"/>
        <color theme="1"/>
        <rFont val="Arial"/>
        <family val="2"/>
      </rPr>
      <t xml:space="preserve">Trimestre 1: </t>
    </r>
    <r>
      <rPr>
        <sz val="7"/>
        <color theme="1"/>
        <rFont val="Arial"/>
        <family val="2"/>
      </rPr>
      <t xml:space="preserve">En total durante el trimestre se realizaron 48 transmisiones entre deportivas, culturales, artísticas, institucionales, entre otros, realizadas en directo, en diferido o vía Streaming. Actividades que se han venido realizando todos los meses manteniendo la constancia e intentando incrementar la cantidad de los eventos, diferencia notoria con el año anterior que los 2 primeros meses  no se realizaron transmisiones. El apoyarse en los convenios previamente firmados que cruzan de un año a otro  permite mantener el las transmisiones especiales.
</t>
    </r>
    <r>
      <rPr>
        <b/>
        <sz val="7"/>
        <color theme="1"/>
        <rFont val="Arial"/>
        <family val="2"/>
      </rPr>
      <t xml:space="preserve">
Trimestre 2: </t>
    </r>
    <r>
      <rPr>
        <sz val="7"/>
        <color theme="1"/>
        <rFont val="Arial"/>
        <family val="2"/>
      </rPr>
      <t xml:space="preserve">Con corte a 30 de junio de 2019 se realizaron 85 transmisiones adicionales al segundo trimestre, entre deportivas y culturales. destacándose eventos como: la Feria del Libro, Fides, Rock al Parque, y eventos que se producen apalancados por los convenios actuales destacándose las transmisiones del Teatro Julio Mario Santodomigo, deportes a motor, Liga de Futbol, entre otros.
</t>
    </r>
    <r>
      <rPr>
        <b/>
        <sz val="7"/>
        <color theme="1"/>
        <rFont val="Arial"/>
        <family val="2"/>
      </rPr>
      <t xml:space="preserve">Trimestre 3: </t>
    </r>
    <r>
      <rPr>
        <sz val="7"/>
        <color theme="1"/>
        <rFont val="Arial"/>
        <family val="2"/>
      </rPr>
      <t xml:space="preserve">En este tercer trimestre de 2019, se ha buscado mantener el número de transmisiones en comparación con la vigencia anterior,  continuando con la dinámica de la misma de la programación cultural y deportiva de la ciudad, lo que hace que la  producción y transmisión  de eventos del Canal sea constante. Dentro de los eventos especiales, para 2019, se consideran todas y cada una de las transmisiones culturales y deportivas que se hagan en exteriores con las unidades móviles. 
</t>
    </r>
    <r>
      <rPr>
        <b/>
        <sz val="7"/>
        <color theme="1"/>
        <rFont val="Arial"/>
        <family val="2"/>
      </rPr>
      <t xml:space="preserve">Trimestre 4: </t>
    </r>
    <r>
      <rPr>
        <sz val="7"/>
        <color theme="1"/>
        <rFont val="Arial"/>
        <family val="2"/>
      </rPr>
      <t>En el cuarto trimestre, aumento significativamente el número de transmisiones, esto se logra a que los contratos y convenios suscritos permiten generar contenido para ser transmitido, aumentando así las transmisiones culturales y deportivas de la ciudad y los eventos navideños, ampliando la variedad en la parrilla de canal. Como acción para la mejora, se propone mantener y buscar aumentar los convenios o acuerdos de colaboración para aumentar las transmisiones culturales y deportivas.
Para la definición de acciones para 2020 y teniendo en cuenta el cambio de administración, se debe tener en principio claro la línea de ruta que vaya a tomar el canal en cuanto al contenido a poner en pantalla, y así mismo poder aplicar estos indicadores o modificarlos.</t>
    </r>
  </si>
  <si>
    <r>
      <rPr>
        <b/>
        <sz val="7"/>
        <color theme="1"/>
        <rFont val="Arial"/>
        <family val="2"/>
      </rPr>
      <t>Trimestre 1:</t>
    </r>
    <r>
      <rPr>
        <sz val="7"/>
        <color theme="1"/>
        <rFont val="Arial"/>
        <family val="2"/>
      </rPr>
      <t xml:space="preserve"> 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primer trimestre se realizó inversión por $ 56.974.197 en la adquisición de equipos de reportería y accesorios para producción de televisión, compuesto por cámara, micrófonos, trípode, batería, cargador, memoria, luz y accesorios
</t>
    </r>
    <r>
      <rPr>
        <b/>
        <sz val="7"/>
        <color theme="1"/>
        <rFont val="Arial"/>
        <family val="2"/>
      </rPr>
      <t xml:space="preserve">Trimestre 2: </t>
    </r>
    <r>
      <rPr>
        <sz val="7"/>
        <color theme="1"/>
        <rFont val="Arial"/>
        <family val="2"/>
      </rPr>
      <t xml:space="preserve">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segundo trimestre se realizó inversión por $ 3.797.052 en la adquisición de equipos reportería compuesto por micrófonos con sus respectivos accesorios (pantallas y escudos), $24.946.297 en la renovación del banco de baterías para la UPS Eaton 9390 de 80 KVA.  Tenemos un avance del 71,43%
</t>
    </r>
    <r>
      <rPr>
        <b/>
        <sz val="7"/>
        <color theme="1"/>
        <rFont val="Arial"/>
        <family val="2"/>
      </rPr>
      <t xml:space="preserve">Trimestre 3: </t>
    </r>
    <r>
      <rPr>
        <sz val="7"/>
        <color theme="1"/>
        <rFont val="Arial"/>
        <family val="2"/>
      </rPr>
      <t xml:space="preserve">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tercer trimestre se realizó inversión por $ 6.275.691en la actualización del tricaster Advance Edition y el software Virtual Set Edition, . Tenemos un avance del 76,66%
</t>
    </r>
    <r>
      <rPr>
        <b/>
        <sz val="7"/>
        <color theme="1"/>
        <rFont val="Arial"/>
        <family val="2"/>
      </rPr>
      <t xml:space="preserve">Trimestre 4: </t>
    </r>
    <r>
      <rPr>
        <sz val="7"/>
        <color theme="1"/>
        <rFont val="Arial"/>
        <family val="2"/>
      </rPr>
      <t>Para dar continuidad al plan de renovación tecnológica, para la presente vigencia se tienen asignados recursos por inversión y por recursos propios. En razón a que en el meses de julio se reciben recursos de ANTV provenientes de las resolución 0591 por valor de $ 262,105,630, la línea base se incrementa de. $120.000.000 a $ 456.662.678. Se realizaron inversiones en torno a poder adquirir infraestructura y equipos que permitan atender las nuevas demandas tecnológicas del canal. Para el cuarto trimestre se realizó inversión por $ 82.978.181 en la adquisición de una unidad de transmisión de video portátil sobre redes 3G/4G/IP, y por $253,684,497 en la adquisición de un centro de producción de control room con cámaras robóticas.  Para este trimestre se reporta un avance del 93.87 %.</t>
    </r>
  </si>
  <si>
    <r>
      <rPr>
        <b/>
        <sz val="7"/>
        <color theme="1"/>
        <rFont val="Arial"/>
        <family val="2"/>
      </rPr>
      <t xml:space="preserve">Trimestre 1: </t>
    </r>
    <r>
      <rPr>
        <sz val="7"/>
        <color theme="1"/>
        <rFont val="Arial"/>
        <family val="2"/>
      </rPr>
      <t xml:space="preserve">De acuerdo al cronograma de mantenimiento previsto, se realizó mantenimiento para la totalidad de los equipos programados,. Se programa una sesión general de mantenimiento en febrero para grupos de equipos de acuerdo a su ubicación y disponibilidad, ejecutando de manera individual en mantenimiento para cada uno. En total para este primer trimestre se ejecutó labor de mantenimiento preventivo en canal o contratada para un total de 216 equipos. Se reporta un avance del 100% para el periodo y un acumulado del 25%.
</t>
    </r>
    <r>
      <rPr>
        <b/>
        <sz val="7"/>
        <color theme="1"/>
        <rFont val="Arial"/>
        <family val="2"/>
      </rPr>
      <t xml:space="preserve">Trimestre 2: </t>
    </r>
    <r>
      <rPr>
        <sz val="7"/>
        <color theme="1"/>
        <rFont val="Arial"/>
        <family val="2"/>
      </rPr>
      <t xml:space="preserve">De acuerdo al cronograma de mantenimiento previsto, se realizó mantenimiento para la totalidad de los equipos programados,. Se programa una sesión general de mantenimiento en Mayo y Junio para grupos de equipos de acuerdo a su ubicación y disponibilidad, ejecutando de manera individual en mantenimiento para cada uno. En total para este primer trimestre se ejecutó labor de mantenimiento preventivo en canal o contratada para un total de 328 equipos. Se reporta un avance del 100% para el periodo y un acumulado del 62,96%.     
</t>
    </r>
    <r>
      <rPr>
        <b/>
        <sz val="7"/>
        <color theme="1"/>
        <rFont val="Arial"/>
        <family val="2"/>
      </rPr>
      <t xml:space="preserve">Trimestre 3: </t>
    </r>
    <r>
      <rPr>
        <sz val="7"/>
        <color theme="1"/>
        <rFont val="Arial"/>
        <family val="2"/>
      </rPr>
      <t xml:space="preserve">De acuerdo al cronograma de mantenimiento previsto, se realizó mantenimiento para la totalidad de los equipos programados,. Se programa una sesión general de mantenimiento en Julio y Septiembre para grupos de equipos de acuerdo a su ubicación y disponibilidad, ejecutando de manera individual en mantenimiento para cada uno. En total para este tercer trimestre se ejecutó labor de mantenimiento preventivo en canal o contratada para un total de 404 equipos. Se reporta un avance del 100% para el periodo y un acumulado del 89,28%. Para este trimestre aumento la línea base debido a la inclusión de los equipos de las unidades móviles, pasando de un total general de 864 a 1166 equipos objeto de mantenimiento.         
</t>
    </r>
    <r>
      <rPr>
        <b/>
        <sz val="7"/>
        <color theme="1"/>
        <rFont val="Arial"/>
        <family val="2"/>
      </rPr>
      <t xml:space="preserve">Trimestre 4: </t>
    </r>
    <r>
      <rPr>
        <sz val="7"/>
        <color theme="1"/>
        <rFont val="Arial"/>
        <family val="2"/>
      </rPr>
      <t xml:space="preserve">De acuerdo al cronograma de mantenimiento previsto, se realizó mantenimiento para la totalidad de los equipos programados. Se programa una sesión general de mantenimiento en Diciembre para grupos de equipos de acuerdo a su ubicación y disponibilidad, ejecutando de manera individual en mantenimiento para cada uno. En total para este cuarto trimestre se ejecutó labor de mantenimiento preventivo en canal o contratada para un total de 496 equipos. Vale la pena resaltar que en este último trimestre la línea base aumenta de 1166 a 1537 debido a que se incluyen algunos equipos adicionales dentro de las rutinas de mantenimiento programadas. </t>
    </r>
  </si>
  <si>
    <r>
      <rPr>
        <b/>
        <sz val="7"/>
        <color theme="1"/>
        <rFont val="Arial"/>
        <family val="2"/>
      </rPr>
      <t xml:space="preserve">Trimestre 1: </t>
    </r>
    <r>
      <rPr>
        <sz val="7"/>
        <color theme="1"/>
        <rFont val="Arial"/>
        <family val="2"/>
      </rPr>
      <t xml:space="preserve">Los ingresos del primer trimestre corresponden a las facturas radicadas en las entidades Fondo Financiero Distrital de Salud CI 619684 2018, UAESP CI 37 2018, Secretaría distrital de Ambiente CI 1380 2018, IDPAC CI 753 2018, JEP CI 001 2019 y Secretaría General de la Alcaldía CI 739 2018. Como acción de mejora para el primer trimestre, se propone reestructurar la meta teniendo en cuenta que la política de ventas cambió en tanto que ahora no solo se debe vender BTL sino BTL junto con producción audiovisual. Esto implicó que varios de los contratos que estaban en estudio previo, no se suscribieron finalmente. SDIS Por $2.500 millones. FISCALIA por $5.000.000 millones.
</t>
    </r>
    <r>
      <rPr>
        <b/>
        <sz val="7"/>
        <color theme="1"/>
        <rFont val="Arial"/>
        <family val="2"/>
      </rPr>
      <t>Trimestre 2:</t>
    </r>
    <r>
      <rPr>
        <sz val="7"/>
        <color theme="1"/>
        <rFont val="Arial"/>
        <family val="2"/>
      </rPr>
      <t xml:space="preserve"> Los ingresos del segundo trimestre corresponden a las facturas radicadas en las entidades Fondo Financiero Distrital de Salud CI 619684 2018, Secretaría distrital de Ambiente CI 1380 2018,  2018, UAESP CI 37 2018, , IDPAC CI 753 2018, Transmilenio CI 374 2017, Secretaría General de la Alcaldía CI 739 2018, ANLA CI 729 2019 y DADEP CI 383 2018. La facturación proyectada por ventas fue calculada según el total de ventas del año distribuidos proporcionalmente en cada trimestre, la facturación real ejecutada está directamente relacionada con el ritmo de ejecución de cada entidad. Se estima que para el IV trimestre se compense el ritmo de ejecución y así mismo la facturación.
</t>
    </r>
    <r>
      <rPr>
        <b/>
        <sz val="7"/>
        <color theme="1"/>
        <rFont val="Arial"/>
        <family val="2"/>
      </rPr>
      <t>Trimestre 3:</t>
    </r>
    <r>
      <rPr>
        <sz val="7"/>
        <color theme="1"/>
        <rFont val="Arial"/>
        <family val="2"/>
      </rPr>
      <t xml:space="preserve"> Los ingresos del segundo trimestre corresponden a las facturas radicadas en las entidades Fondo Financiero Distrital de Salud CI 619684 2018, Secretaría distrital de Ambiente CI 1380 2018,  2018, UAESP CI 37 2018, IDIGER 272 2019, Transmilenio CI 374 2017,Secretaría de Cultura 180 2019, ANLA CI 729 2019, Secretaría de Educación 1934 2019,  DADEP CI 395, UAESP CI 534 2019, Secretaría de Ambiente CI 1290 2019 y  Secretaría General de la Alcaldía CI 739 2018. La facturación real ejecutada está directamente relacionada con el ritmo de ejecución de cada entidad. Se estima que para el IV trimestre se compense el ritmo de ejecución y así mismo la facturación.
</t>
    </r>
    <r>
      <rPr>
        <b/>
        <sz val="7"/>
        <color theme="1"/>
        <rFont val="Arial"/>
        <family val="2"/>
      </rPr>
      <t xml:space="preserve">Trimestre 4: </t>
    </r>
    <r>
      <rPr>
        <sz val="7"/>
        <color theme="1"/>
        <rFont val="Arial"/>
        <family val="2"/>
      </rPr>
      <t>Los ingresos del segundo trimestre corresponden a las facturas radicadas en las entidades Transmilenio 374-17, UAESP 37-18, Secretaría Distrital de Ambiente 1380-18, Fondo Financiero Distrital de Salud 619684-18, Secretaría Alcaldía Mayor 739-18, IDPAC 753-18, DADEP 383-18, JEP 001-19, ANLA 729-19, IDIGER 272 2019, Secretaría de Educación 1934-19, Secretaría Alcaldía 723-19, Secretaría Cultura 180-19, Jardín Botánico 1131-19, UAESP 534-19, Secretaría de Ambiente 1290-19, DADEP 395-19 y Ministerio de Educación 278-19. La facturación real ejecutada está directamente relacionada con el ritmo de ejecución de cada entidad. En el último trimestre se firmó, ejecutó y facturó un nuevo contrato interadministrativo con el Ministerio de Educación, el cual representó un incremento en la facturación de $918.487.395.</t>
    </r>
  </si>
  <si>
    <r>
      <rPr>
        <b/>
        <sz val="7"/>
        <color theme="1"/>
        <rFont val="Arial"/>
        <family val="2"/>
      </rPr>
      <t xml:space="preserve">Trimestre 1: </t>
    </r>
    <r>
      <rPr>
        <sz val="7"/>
        <color theme="1"/>
        <rFont val="Arial"/>
        <family val="2"/>
      </rPr>
      <t xml:space="preserve">Para el primer trimestre, por concepto de ventas privadas se reportan ventas de $98.397.122 sin IVA y por ventas públicas se registran ventas por $255.644.632 sin IVA. En el segmento de ventas  privadas se registran ingresos por concepto de ventas realizadas por el área de Ventas y Mercadeo y la comercializadora HB Medios para servicios de emisión de pauta publicitaria y producción de los siguientes clientes: Inversiones Kyria SAS, Comercializadora Andro SAS, Comercializadora Arve SAS, Comercializadora Mundo Marketing SAS, Glasir SAS, Century Media SAS, Publicidad y algo más SAS, AD Cases Net SAS, Pixel Media SAS y Big Media SAS. En ventas públicas los clientes que reportaron ventas fueron ETB y Canal Trece en nombre de MINTIC.
</t>
    </r>
    <r>
      <rPr>
        <b/>
        <sz val="7"/>
        <color theme="1"/>
        <rFont val="Arial"/>
        <family val="2"/>
      </rPr>
      <t>Trimestre 2:</t>
    </r>
    <r>
      <rPr>
        <sz val="7"/>
        <color theme="1"/>
        <rFont val="Arial"/>
        <family val="2"/>
      </rPr>
      <t xml:space="preserve"> Para el segundo trimestre, por concepto de ventas privadas se reportan ventas de $183.687.681 sin IVA y por ventas públicas se registran ventas por $583.809.788 sin IVA. En el segmento de ventas  privadas se registran ingresos por concepto de ventas realizadas por el área de Ventas y Mercadeo y la comercializadora HB Medios para servicios de emisión de pauta publicitaria y producción de los siguientes clientes: Inversiones Kyria SAS, Comercializadora Andro SAS, Comercializadora Arve SAS, Comercializadora Mundo Marketing SAS, Glasir SAS, Acomedios Publicidad y Mercadeo Limitada, La Urbe Agencia de Comunicaciones SAS, Elkin Raúl Coronell Cadena - Lotería del Meta, Century Media SAS, Eventos y Protocolo Empresarial SAS, Natural Helios SAS, Corporación Universitaria Iberoamericana, Ortizo SA y Autódromos SA. En ventas públicas los clientes que reportaron ventas fueron FONCEP, Cuerpo Oficial de Bomberos de Bogotá, Orquesta Filarmónica de Bogotá y Comisión de la Verdad. En este periodo se incluyen ventas de emisión de  programas de 30 minutos de Comercializadora Mundo Marketing SAS y Glasir SAS, pauta de Acomedios Publicidad y Mercadeo Ltda. y emisión de Century Media. Así mismo se incluye el valor de lo recibido desde el ítem digital marketing (Google y Facebook).
</t>
    </r>
    <r>
      <rPr>
        <b/>
        <sz val="7"/>
        <color theme="1"/>
        <rFont val="Arial"/>
        <family val="2"/>
      </rPr>
      <t>Trimestre 3:</t>
    </r>
    <r>
      <rPr>
        <sz val="7"/>
        <color theme="1"/>
        <rFont val="Arial"/>
        <family val="2"/>
      </rPr>
      <t xml:space="preserve"> Para el tercer trimestre, por concepto de ventas privadas se reportan ingresos de $124.291.396 sin Iva y por ventas publicas se registran ingresos de $ 1.121.639.604 Sin IVA. En el segmento de ventas privadas se registran ingresos por concepto de ventas realizadas por el área de Ventas y Mercadeo y la comercializadora HB Medios para servicios de emisión de pauta publicitaria y producción de los siguientes clientes; Por la Comercializadora HB Medios: (Inversiones Kyria SAS, Comercializadora Andro SAS, Comercializadora Mundo Marketing SAS, Glasir SAS, JM Salud &amp; Belleza SAS y TV Ideas).                                                                                                                                                                                                Por el área de Ventas y Mercadeo: Acomedios, Elkin Raúl Coronell Cadena - Lotería del Meta, Corporación Universitaria Iberoamericana,  Autódromos SA y Taktikos  En ventas públicas los clientes que reportaron ventas fueron: ETB, Orquesta Filarmónica de Bogotá, Comisión de la Verdad, FONTIC y Canal Trece. En este período se incluyen ventas de emisión de programas de 30 minutos de Comercializadora HB Medios: (Inversiones Kyria SAS, Comercializadora Andro SAS, Comercializadora Mundo Marketing SAS, Glasir SAS, JM Salud &amp; Belleza SAS y TV Ideas). Durante este trimestre se contrató una nueva ejecutiva comercial, bajo el contrato Nº 665 - 2019, el día 02 de Septiembre de 2019, con el fin de fortalecer las ventas el último trimestre del año, con el propósito de incrementar los clientes en el sector privado. Así mismo hasta el 19 de Sep. Trabajo la ejecutiva María del Pilar Varón.
Como oportunidad de mejora detectamos que por medio de la gestión de la ejecutiva comercial, lograremos captar nuevos clientes.  Como medida correctiva, se observa la importancia de abrir nuevos espacios comerciales dentro de la programación, para obtener más oportunidades de negocio y ventas.
</t>
    </r>
    <r>
      <rPr>
        <b/>
        <sz val="7"/>
        <color theme="1"/>
        <rFont val="Arial"/>
        <family val="2"/>
      </rPr>
      <t>Trimestre 4:</t>
    </r>
    <r>
      <rPr>
        <sz val="7"/>
        <color theme="1"/>
        <rFont val="Arial"/>
        <family val="2"/>
      </rPr>
      <t xml:space="preserve"> Para el cuarto trimestre, por concepto de ventas privadas se reportan ingresos de $ 244.368.760 sin Iva y por ventas publicas ingresos de $1.871.932.923 sin Iva. En el segmento de ventas privadas se registran ingresos por parte del área de Ventas y Mercadeo y la comercialización de HB Medios, para servicios de emisión de pauta publicitarias, así: Comercializadora HB Medios: (Inversiones Kyria SAS, NetShop, JM Salud &amp; Belleza SAS y TV Ideas).  Ingresos desde el área de Ventas y Mercadeo:  ETB: IDU, IDIGER, Secretaria de Educación, Instituto Distrital de Gestión de Riesgos y Cambio, Instituto de Desarrollo Urbano, Filarmónica de Bogotá, Bomberos, FONCEP, Fondo de Prestaciones Económicas, Cesantías y Pensiones, FONTIC,  DADEP, RTVC,  Canal 13,  DPC - Instituto Distrital de Patrimonio Cultural, Grand Sport S.A.S, Elkin Raúl Coronell, T.V. Andina, Corporación Publicitaria/ Centro Comercial El Edén, Renova Life, Comisión de la verdad, Consorcio Nacional de medios, y clientes Nuevos con inversiones que superan los $10.000.000 entre las que se encuentran: Acord Colombia, Fundación Native Films . Adicional Ventas Digital por medio de la agencia Vidoomy Media SL. En el trimestre se fortalece el área comercial con el fin de cierre de año y durante los meses de noviembre y diciembre se ejecutan acciones en la búsqueda de clientes nuevos, se logran gestionar los siguientes contratos:  Native Films con una inversión de $47,899.160, Acord Colombia $13.308.000, Centro comercial El Edén, DPC, Vidoomy, Procuraduría y Renova Life. Asimismo se ejecutaron varios contratos con entidades publicas que incrementaron los ingresos del canal en un porcentaje mayor al 200% para culminar el año frente resultado del denominador. Como medida correctiva, se observa la importancia de abrir nuevos espacios comerciales dentro de la programación, para obtener más oportunidades de negocio y ventas, así como vincular en nuestro portafolio la comercialización digital y tener una experticia con las diferentes agencias y centrales de medios como aliadas estratégicas del canal y que nos involucren dentro de sus planes de medios con diferentes clientes potenciales. 
Teniendo en cuenta el comportamiento del indicador durante el año 2019, se evidencia el logro del objetivo planteado superando la proyección establecida y cerrando el año con un ingreso anual del $ 4.246.357.600, con un resultado acumulado año del 162%.de cumplimiento. Este presupuesto se logra por medio de las cotizaciones y ofertas comercial enviadas y aceptadas a más de 60 entidades tanto publicas como privadas, como análisis de mejora se tendrá que duplicar la cifra de contactos comerciales, bases de datos y refuerzo en la gestión comercial, así como contar la gestión de la comercialización de la agencia HB Medios como aliada, con quien esperamos continuar trabajando en el transcurso de este periodo, debemos tener presente las estacionalidades en el cumplimiento de las metas, así como las campañas y contratos con requerimientos en comunicaciones puntuales.  Cómo recomendación, se mantendrá la medición del indicador para el 2020 y en aras a un buen y rentable desarrollo del año en curso, se espera continuar fortaleciendo el área  y realizar la contratación de 2 ejecutivos comerciales con el propósito principal de incrementar nuestro portafolio de clientes nuevos, así como vincular en nuestro portafolio los servicios de (btl, atl y digital) brindando experiencias 360 en nuestro medio de comunicación. </t>
    </r>
  </si>
  <si>
    <r>
      <rPr>
        <b/>
        <sz val="7"/>
        <color theme="1"/>
        <rFont val="Arial"/>
        <family val="2"/>
      </rPr>
      <t xml:space="preserve">Trimestre 1: </t>
    </r>
    <r>
      <rPr>
        <sz val="7"/>
        <color theme="1"/>
        <rFont val="Arial"/>
        <family val="2"/>
      </rPr>
      <t xml:space="preserve">La utilidad de la facturación en el primer trimestre, fue de -$202,983,946 millones, debido a que lo comprometido presupuestalmente no se ha facturado al 100%. Los eventos o requerimientos que se encuentran en ejecución solo es posible facturarlos hasta que finalicen y se obtenga el recibido a satisfacción por parte del cliente. No todos los contratos del personal de Nuevos Negocios son facturables a las entidades teniendo en cuenta que muchos clientes solo dejaron facturar un productor en sus contratos. Debido a que se redujo la meta de suscripción de contratos para la vigencia 2019, se hace necesaria una revisión de la utilidad esperada para el 2019. Los costos de personal se deberían incluirse en las cotizaciones presentadas a las entidades y ser facturables contractualmente, para lo cual es necesario saber con exactitud el porcentaje que se debe cobrar a cada cliente, por cada uno de los miembros del equipo de nuevos negocios. Este ejercicio debe ser realizado por el área financiera que es la que conoce los verdaderos costos del equipo.
</t>
    </r>
    <r>
      <rPr>
        <b/>
        <sz val="7"/>
        <color theme="1"/>
        <rFont val="Arial"/>
        <family val="2"/>
      </rPr>
      <t>Trimestre 2:</t>
    </r>
    <r>
      <rPr>
        <sz val="7"/>
        <color theme="1"/>
        <rFont val="Arial"/>
        <family val="2"/>
      </rPr>
      <t xml:space="preserve"> La utilidad de la facturación en el segundo trimestre, fue de -$1,078,875,953 millones, debido a que lo comprometido presupuestalmente no se ha facturado al 100%. Los eventos o requerimientos que se encuentran en ejecución solo es posible facturarlos hasta que finalicen y se obtenga el recibido a satisfacción por parte del cliente. Se estima facturar $ 2,153,186,488 con lo que se cubrirá parte del resultado negativo del ejercicio. Los costos de personal se deberían incluir en las cotizaciones presentadas a las entidades antes de firmar el contrato interadministrativo y ser facturables contractualmente. Debido a que  FEE del 6,5% o 8,5% sobre cada evento o requerimiento, no es suficiente para cubrir los costos administrativos del área, es necesario que en cada contrato administrativo que se suscriba se pueda obtener la utilidad por eficiencia contractual con proveedores teniendo en cuenta que somos una empresa industrial y comercial del estado. 
</t>
    </r>
    <r>
      <rPr>
        <b/>
        <sz val="7"/>
        <color theme="1"/>
        <rFont val="Arial"/>
        <family val="2"/>
      </rPr>
      <t xml:space="preserve">Trimestre 3: </t>
    </r>
    <r>
      <rPr>
        <sz val="7"/>
        <color theme="1"/>
        <rFont val="Arial"/>
        <family val="2"/>
      </rPr>
      <t xml:space="preserve">La utilidad de la facturación en el tercer trimestre, fue de -4,231,513,858 millones, debido a que lo comprometido presupuestalmente no se ha facturado al 100%. Los eventos o requerimientos que se encuentran en ejecución solo es posible facturarlos hasta que finalicen y se obtenga el recibido a satisfacción por parte del cliente. Se estima facturar $ 5,834,117,444 mas IVA con lo que se cubrirá parte del resultado negativo del ejercicio. Los costos de personal se deberían incluir en las cotizaciones presentadas a las entidades antes de firmar el contrato interadministrativo y ser facturables contractualmente. Debido a que  FEE del 6,5% o 8,5% sobre cada evento o requerimiento, no es suficiente para cubrir los costos administrativos del área, es necesario que en cada contrato administrativo que se suscriba se pueda obtener la utilidad por eficiencia contractual con proveedores teniendo en cuenta que somos una empresa industrial y comercial del estado.
</t>
    </r>
    <r>
      <rPr>
        <b/>
        <sz val="7"/>
        <color theme="1"/>
        <rFont val="Arial"/>
        <family val="2"/>
      </rPr>
      <t xml:space="preserve">Trimestre 4: </t>
    </r>
    <r>
      <rPr>
        <sz val="7"/>
        <color theme="1"/>
        <rFont val="Arial"/>
        <family val="2"/>
      </rPr>
      <t xml:space="preserve">La utilidad de la facturación en el tercer trimestre, fue de $ 1.818.218.737 millones, debido a que lo comprometido presupuestalmente se facturó en su mayoría en 2019. Algunos eventos o requerimientos que se ejecutaron en diciembre de 2019 solo es posible facturarlos hasta que finalicen y se obtenga el recibido a satisfacción por parte del cliente. En 2020 se estima facturara alrededor de $ 298,439,693 mas IVA con lo que se cubrirá el 100% de lo ejecutado en 2019.Los costos de personal se deberían incluir en las cotizaciones presentadas a las entidades antes de firmar el contrato interadministrativo y ser facturables contractualmente. Debido a que  FEE del 6,5% o 8,5% sobre cada evento o requerimiento, no es suficiente para cubrir los costos administrativos del área, es necesario que en cada contrato administrativo que se suscriba se pueda obtener la utilidad por eficiencia contractual con proveedores teniendo en cuenta que somos una empresa industrial y comercial del estado. </t>
    </r>
  </si>
  <si>
    <r>
      <rPr>
        <b/>
        <sz val="7"/>
        <color theme="1"/>
        <rFont val="Arial"/>
        <family val="2"/>
      </rPr>
      <t>Trimestre 1:</t>
    </r>
    <r>
      <rPr>
        <sz val="7"/>
        <color theme="1"/>
        <rFont val="Arial"/>
        <family val="2"/>
      </rPr>
      <t xml:space="preserve"> En este período se consiguió mediante alianzas cubrir y transmitir los siguientes eventos, así como se  logró una comunicación con los medios y eventos para establecer estrategias conjuntas en beneficio del posicionamiento de  las marcas: Festival Centro. Hexagonal del Suroriente, Octogonal del Tabora, Torneo Karate Do, Gala Festival Música Colombiana, Octogonal Final Fútbol Tchyminigagua, Final Copa Reyes Magos y Campeonato Nacional de Salto. Otros eventos de los que fuimos aliados son: Tattoo Music Festival, Web Festival Congress, Teatro Mayor Julio Mario Santo Domingo, Autódromo de Tocancipá. Alianza medio de comunicación QHUBO.  Se seguirá trabajando desde el área de Mercadeo y la Coordinación de eventos en la misma estratégia para así poder aumentar en el segundo semestre las alianzas y convenios con eventos, empresas y medios de comunicación, y así cumplir con el objetivo de posicionamiento y recordación de marca de Canal Capital entre los habitantes de Bogotá y aumentar el contenido de parrilla para fidelizar la audiencia actual y atraer nuevas. 
</t>
    </r>
    <r>
      <rPr>
        <b/>
        <sz val="7"/>
        <color theme="1"/>
        <rFont val="Arial"/>
        <family val="2"/>
      </rPr>
      <t xml:space="preserve">Trimestre 2: </t>
    </r>
    <r>
      <rPr>
        <sz val="7"/>
        <color theme="1"/>
        <rFont val="Arial"/>
        <family val="2"/>
      </rPr>
      <t xml:space="preserve">En el segundo trimestre se consiguió mediante alianzas cubrir y transmitir los siguientes eventos, así como se  logró una comunicación con los medios y eventos para establecer estrategias conjuntas en beneficio del posicionamiento de  las marcas: Liga de Fútbol de Bogotá, OFB, Teatro Colón, Teatro Jorge Eliecer Gaitán, Feria del Libro, Futurible, Sportfest, FIDES, Premios Benko Boihó, Campus Party y Artes Marciales. Se continuó con las alianzas: Club Piratas de Baloncesto, Bodytech, Teatro Mayor Julio Mario Santo Domingo, Autódromo de Tocancipá. Alianza medio de comunicación QHUBO. Se seguirá trabajando, como en el anterior semestre, desde el área de Mercadeo y la Coordinación de eventos en la misma estratégia para así poder aumentar en el tercer semestre las alianzas y convenios con eventos, empresas y medios de comunicación, y así seguir cumpliendo con el objetivo de posicionamiento y recordación de marca de Canal Capital entre los habitantes de Bogotá y aumentar el contenido de parrilla para fidelizar la audiencia actual y atraer nuevas. 
</t>
    </r>
    <r>
      <rPr>
        <b/>
        <sz val="7"/>
        <color theme="1"/>
        <rFont val="Arial"/>
        <family val="2"/>
      </rPr>
      <t xml:space="preserve">Trimestre 3: </t>
    </r>
    <r>
      <rPr>
        <sz val="7"/>
        <color theme="1"/>
        <rFont val="Arial"/>
        <family val="2"/>
      </rPr>
      <t xml:space="preserve">En este período se consiguió mediante alianzas cubrir y transmitir los siguientes eventos, así como se  logró una comunicación con los medios y eventos para establecer estrategias conjuntas en beneficio del posicionamiento de  las marcas: BAM, Campeonato Ecuestre Club el Rancho, Rock al Parque, Colombia al Parque, Jazz al Parque, Concierto "Así suena Colombia", Festival de Verano, Concierto La Kalle, Concierto Olímpica Estéreo, Caminata "Solidaridad por Colombia", Mundial Fut7, Gala "Smartfilms", elección y coronación Señorita Bogotá, Festival de Cine Infantil y de Adolescencia.. Proseguimos con las alianzas: Club Piratas de Baloncesto, Bodytech, Teatro Mayor Julio Mario Santo Domingo, Autódromo de Tocancipá. Alianza medio de comunicación QHUBO, ROTAX, OFB y Liga de Fútbol. Se seguirá trabajando, como en el anterior semestre, desde el área de Mercadeo y la Coordinación de eventos en la misma estratégia para así poder aumentar en el tercer semestre las alianzas y convenios con eventos, empresas y medios de comunicación, y así seguir cumpliendo con el objetivo de posicionamiento y recordación de marca de Canal Capital entre los habitantes de Bogotá y aumentar el contenido de parrilla para fidelizar la audiencia actual y atraer nuevas. 
</t>
    </r>
    <r>
      <rPr>
        <b/>
        <sz val="7"/>
        <color theme="1"/>
        <rFont val="Arial"/>
        <family val="2"/>
      </rPr>
      <t xml:space="preserve">Trimestre 4: </t>
    </r>
    <r>
      <rPr>
        <sz val="7"/>
        <color theme="1"/>
        <rFont val="Arial"/>
        <family val="2"/>
      </rPr>
      <t xml:space="preserve">En este período se consiguió mediante alianzas cubrir y transmitir los siguientes eventos: Eventos Navideños Alcaldía, Novenas IDRD con  Olímpica Estéreo, evento autódromo "6 horas de Bogotá", OFB, Juegos Nacionales, Tchyminigagua, (La información se basa en el informe de actividades contratista de prestación de servicios personales. Periodo del Informe 01 de diciembre al 15 de diciembre de 2019). Del archivo: Evidencias del mes de diciembre compartido en Drive, se encontraron los siguientes registros de alianzas: Activación Realidad Virtual mi Mundo Interior, Eucol Arte y QHUBO. Continuaremos trabajando, desde el área de Ventas y Mercadeo en pro a participar en eventos de reconocimiento que sean afines y a la misionalidad del Canal.  Bajo la  estratégia de los meses anteriores con el fin de  aumentar  las alianzas y convenios con empresas y medios de comunicación para continuar cumpliendo con el objetivo de posicionamiento de marca de Canal Capital entre los habitantes de Bogotá. 
Teniendo en cuenta el comportamiento del indicador durante el año 2019, se evidencia el logro del objetivo planteado. Como análisis de mejora proponemos tener claridad y veracidad en la información de las acciones realizadas en las diferentes áreas vinculadas las cuales son: (Dpto. Jurídica, Ventas y Mercadeo). Se debe incrementar la cifra de contactos comerciales, bases de datos y refuerzo en la gestión de las invitaciones recibidas en el canal, para apoyar las diferentes acciones culturales y recreativas de la ciudad.  Esperamos continuar fortaleciendo el área y realizar alianzas y contratos de colaboración con el propósito de incrementar nuestro portafolio en clientes nuevos, así como vincular en nuestro portafolio los servicios de (Btl, Atl y digital) brindando experiencias 360 en nuestro medio de comunicación. </t>
    </r>
  </si>
  <si>
    <r>
      <rPr>
        <b/>
        <sz val="7"/>
        <color theme="1"/>
        <rFont val="Arial"/>
        <family val="2"/>
      </rPr>
      <t xml:space="preserve">Trimestre 1: </t>
    </r>
    <r>
      <rPr>
        <sz val="7"/>
        <color theme="1"/>
        <rFont val="Arial"/>
        <family val="2"/>
      </rPr>
      <t xml:space="preserve">Para el primer trimestre, en el cronograma estaba programada la reinducción en gestión documental, pero adicional se realizó la reinducción de "La industria Cambio los retos de Canal Capital" y el cambio del "manual de contratación".
</t>
    </r>
    <r>
      <rPr>
        <b/>
        <sz val="7"/>
        <color theme="1"/>
        <rFont val="Arial"/>
        <family val="2"/>
      </rPr>
      <t>Trimestre 2:</t>
    </r>
    <r>
      <rPr>
        <sz val="7"/>
        <color theme="1"/>
        <rFont val="Arial"/>
        <family val="2"/>
      </rPr>
      <t xml:space="preserve"> Para el segundo trimestre, en el cronograma se tenía en el mes de abril una reinducción, la cual se realizó en el mes de marzo. El 8 de abril se envió el listado con 12 servidores públicos del canal para realizar la inducción y reinducción virtual que tiene el Departamento Administrativo del Servicio Civil Distrital. El 29 de abril se realizó la reinducción anual por parte de la secretaria de la mujer en "violencia contra la mujer". En mayo y junio se han realizado divulgaciones del código de integridad.
</t>
    </r>
    <r>
      <rPr>
        <b/>
        <sz val="7"/>
        <color theme="1"/>
        <rFont val="Arial"/>
        <family val="2"/>
      </rPr>
      <t>Trimestre 3:</t>
    </r>
    <r>
      <rPr>
        <sz val="7"/>
        <color theme="1"/>
        <rFont val="Arial"/>
        <family val="2"/>
      </rPr>
      <t xml:space="preserve"> Para el tercer trimestre, en el cronograma estaba programada la reinducción en Ambientes inclusivos, la cual se realizará en el ultimo trimestre del año, se realizo una reinducción general para todas las áreas del Canal. Se realizó un sketch sobre los valores institucionales.
</t>
    </r>
    <r>
      <rPr>
        <b/>
        <sz val="7"/>
        <color theme="1"/>
        <rFont val="Arial"/>
        <family val="2"/>
      </rPr>
      <t>Trimestre 4:</t>
    </r>
    <r>
      <rPr>
        <sz val="7"/>
        <color theme="1"/>
        <rFont val="Arial"/>
        <family val="2"/>
      </rPr>
      <t xml:space="preserve"> Para el cuarto trimestre, en el cronograma se programaron 2 inducciones de Gestión Documental. De las cuales se realizaron 5 en los meses de (febrero, marzo, mayo, julio y agosto). Por esta razón no se realizó la estaba programada para el último trimestre.
La de Inclusión de enfoques de genero se realizó el 04 de abril de 2019. En este trimestre se realizaron divulgaciones de los valores.</t>
    </r>
  </si>
  <si>
    <r>
      <rPr>
        <b/>
        <sz val="7"/>
        <color theme="1"/>
        <rFont val="Arial"/>
        <family val="2"/>
      </rPr>
      <t xml:space="preserve">Trimestre 1: </t>
    </r>
    <r>
      <rPr>
        <sz val="7"/>
        <color theme="1"/>
        <rFont val="Arial"/>
        <family val="2"/>
      </rPr>
      <t xml:space="preserve">En el primer trimestre, se realizó la capacitación en gestión documental programada para el mes de marzo. Adicional se realizaron otras 7 capacitaciones que no estaban programadas: Lenguaje claro, Servicio al Ciudadano, Circular 001, uso de apps, Brigadistas de emergencia, seguridad vial, Prevención en Acoso Laboral.
</t>
    </r>
    <r>
      <rPr>
        <b/>
        <sz val="7"/>
        <color theme="1"/>
        <rFont val="Arial"/>
        <family val="2"/>
      </rPr>
      <t>Trimestre 2:</t>
    </r>
    <r>
      <rPr>
        <sz val="7"/>
        <color theme="1"/>
        <rFont val="Arial"/>
        <family val="2"/>
      </rPr>
      <t xml:space="preserve"> En el segundo trimestre, Se realizaron las siguientes capacitaciones: Se realizaron 3 capacitaciones en temas técnicos: Ley de financiamiento, información exógena y Documento electrónico y en temas generales las siguientes Ley 1952 de 2019 - Código disciplinario, formulación, seguimiento y medición de indicadores, tablas de retención documental, gobierno digital, violencia contra mujeres, Ley 1712 de 2014 - Ley de transparencia, MIPG, gestión documental, Gestión de riesgo institucional, servicio al ciudadano. Adicional se realizaron 9 capacitaciones en temas de seguridad y salud en el trabajo.
</t>
    </r>
    <r>
      <rPr>
        <b/>
        <sz val="7"/>
        <color theme="1"/>
        <rFont val="Arial"/>
        <family val="2"/>
      </rPr>
      <t>Trimestre 3:</t>
    </r>
    <r>
      <rPr>
        <sz val="7"/>
        <color theme="1"/>
        <rFont val="Arial"/>
        <family val="2"/>
      </rPr>
      <t xml:space="preserve"> En el trimestre se realizaron 4 capacitaciones técnicas: Programadas . Capacitación en archivos sonoros, fotográficos y visuales, implementación en IPV6. No programadas: Congreso de servicios públicos TIC y TV, Congreso Internacional de TIC y Andicom.  Se realizaron las siguientes capacitaciones: Política pública distrital, Formación en atención al ciudadano, Gestión en riesgo de corrupción, Formulación y evaluación de proyectos,  Servicio al Cliente.
</t>
    </r>
    <r>
      <rPr>
        <b/>
        <sz val="7"/>
        <color theme="1"/>
        <rFont val="Arial"/>
        <family val="2"/>
      </rPr>
      <t>Trimestre 4:</t>
    </r>
    <r>
      <rPr>
        <sz val="7"/>
        <color theme="1"/>
        <rFont val="Arial"/>
        <family val="2"/>
      </rPr>
      <t xml:space="preserve"> En el cuarto trimestre se cambiaron 2 capacitaciones programadas (Manejo de Vizart y Creación de contenidos transmedia por Congreso de servicios públicos TIC y TV  y Congreso Internacional de TIC). Se realizaron las siguientes capacitaciones: Se cambió la de trabajo en equipo por Liderazgo en ecosistemas públicos. Adicionalmente durante la vigencia se realizaron 9 capacitaciones que  no estaban programadas. (Atención al ciudadano, Comunicación y lenguaje claro, Educación pensional, El reto de Carolina, El derecho de las Mujeres a una vida libre de violencias, ortografía y redacción, servicio al cliente, acoso laboral y lenguaje claro.)</t>
    </r>
  </si>
  <si>
    <r>
      <rPr>
        <b/>
        <sz val="7"/>
        <color theme="1"/>
        <rFont val="Arial"/>
        <family val="2"/>
      </rPr>
      <t xml:space="preserve">Trimestre 1:  </t>
    </r>
    <r>
      <rPr>
        <sz val="7"/>
        <color theme="1"/>
        <rFont val="Arial"/>
        <family val="2"/>
      </rPr>
      <t xml:space="preserve">Se realizaron las actividades planteadas en el cronograma para el primer trimestre del años 2019. Día de cumpleaños. Visitas empresariales, visita compensar, tarjetas virtuales, campaña en bici al canal, día de la mujer, día del hombre y actividades de prevención y promoción de la salud.
</t>
    </r>
    <r>
      <rPr>
        <b/>
        <sz val="7"/>
        <color theme="1"/>
        <rFont val="Arial"/>
        <family val="2"/>
      </rPr>
      <t xml:space="preserve">Trimestre 2:  </t>
    </r>
    <r>
      <rPr>
        <sz val="7"/>
        <color theme="1"/>
        <rFont val="Arial"/>
        <family val="2"/>
      </rPr>
      <t xml:space="preserve">Actividades de Clima y Cultura Organizacional: Se programaron para el trimestre 4 actividades en el trimestre: día de cumpleaños, visitas empresariales, tarjetas virtuales y visita de compensar. Actividades Deportivas: Se programaron para el trimestre el torneo de bolos, campaña en bici y el torneo de microfútbol. Por la lluvia se aplazó el torneo de microfútbol para el mes de julio. Actividades recreativas: Se realizó la caminata ecológica y la celebración de los niños en el mes de abril. Actividades culturales: Se realizaron actividades del día de la mujer, día del hombre, día de la secretaria, día de la madre, día del padre, día de la familia. La tarde se deja para el otro trimestre, para dejar espacio entre las actividades. Actividades de prevención y salud: Se realizaron actividades como: Brigada de salud, prevención acoso laboral, manejo del estrés, prevención en consumo de sustancias psicoactivas, cuidado de la piel y manejo de extintores.
</t>
    </r>
    <r>
      <rPr>
        <b/>
        <sz val="7"/>
        <color theme="1"/>
        <rFont val="Arial"/>
        <family val="2"/>
      </rPr>
      <t xml:space="preserve">Trimestre 3:  </t>
    </r>
    <r>
      <rPr>
        <sz val="7"/>
        <color theme="1"/>
        <rFont val="Arial"/>
        <family val="2"/>
      </rPr>
      <t xml:space="preserve">Actividades de Clima y Cultura Organizacional:  Se programaron para el trimestre 4 actividades en el trimestre: día de cumpleaños, visitas empresariales, tarjetas virtuales y visita de Compensar. Actividades Deportivas: Se programaron para el trimestre el torneo de bolos, campaña en bici y el torneo de microfútbol. Actividades culturales: Se realizaron actividades taller de cocina. Actividades de prevención y salud: Se realizaron actividades como: Jornada de higiene postural, Manejo de cargas, Jornada de salud visual Jornada de relajación, Lonchera saludable, Prevención de sustancias psicoactivas, Uso de los elementos de protección personal, Uso adecuado de los baños.
</t>
    </r>
    <r>
      <rPr>
        <b/>
        <sz val="7"/>
        <color theme="1"/>
        <rFont val="Arial"/>
        <family val="2"/>
      </rPr>
      <t xml:space="preserve">Trimestre 4:  </t>
    </r>
    <r>
      <rPr>
        <sz val="7"/>
        <color theme="1"/>
        <rFont val="Arial"/>
        <family val="2"/>
      </rPr>
      <t>Actividades de Clima y Cultura Organizacional: Se programaron para el trimestre 7 actividades en el trimestre: día del servidor público, día de cumpleaños, visitas empresariales, tarjetas virtuales, tarde de juego, bonos navideños y novenas navideñas. Actividades Deportivas: Se programaron para el trimestre torneo de tenis de mesa y en bici al canal. Actividades de prevención y salud: Divulgación plan de emergencia, Seguridad Vial, pausas activas. Actividades recreativas: Se programaron la celebración de los niños - Halloween, Cumpleaños del Canal, Cierre de gestión. Actividades culturales: En el trimestre se realizó el taller de cocina, tarde de cocina y las olimpiadas.</t>
    </r>
  </si>
  <si>
    <r>
      <rPr>
        <b/>
        <sz val="7"/>
        <color theme="1"/>
        <rFont val="Arial"/>
        <family val="2"/>
      </rPr>
      <t>Trimestre 1</t>
    </r>
    <r>
      <rPr>
        <sz val="7"/>
        <color theme="1"/>
        <rFont val="Arial"/>
        <family val="2"/>
      </rPr>
      <t xml:space="preserve">: 1. De acuerdo a lo definido en la resolución de referencia, la evaluación de cumplimiento de estándares se realizará en el cuarto trimestre del año, a la fecha no encontramos sujetos al resultado de la evaluación de 2018.
2.Se han ejecutado 12 actividades de la 29 programadas en el plan de capacitaciones SST.
3. Se han ejecutado 42 horas de las 208 horas asignadas por la ARL para reinversión.
</t>
    </r>
    <r>
      <rPr>
        <b/>
        <sz val="7"/>
        <color theme="1"/>
        <rFont val="Arial"/>
        <family val="2"/>
      </rPr>
      <t>Trimestre 2:</t>
    </r>
    <r>
      <rPr>
        <sz val="7"/>
        <color theme="1"/>
        <rFont val="Arial"/>
        <family val="2"/>
      </rPr>
      <t xml:space="preserve"> • De acuerdo a lo definido en la resolución de referencia, la evaluación de cumplimiento de estándares se realizará en el cuarto trimestre del año, a la fecha no encontramos sujetos al resultado de la evaluación de 2018.
• Se han ejecutado 18 actividades de la 29 programadas en el plan de capacitaciones SST.
• Se han ejecutado 90 horas de las 208 horas asignadas por la ARL para reinversión.
</t>
    </r>
    <r>
      <rPr>
        <b/>
        <sz val="7"/>
        <color theme="1"/>
        <rFont val="Arial"/>
        <family val="2"/>
      </rPr>
      <t xml:space="preserve">Trimestre 3: </t>
    </r>
    <r>
      <rPr>
        <sz val="7"/>
        <color theme="1"/>
        <rFont val="Arial"/>
        <family val="2"/>
      </rPr>
      <t xml:space="preserve">* De acuerdo a lo definido en la resolución de referencia, la evaluación de cumplimiento de estándares se realizará en el cuarto trimestre del año, a la fecha no encontramos sujetos al resultado de la evaluación de 2018.
* Se han ejecutado 31 actividades de la 39 programadas en el plan de capacitaciones SST.
* Se han ejecutado 202 horas de las 243 horas asignadas por la ARL para reinversión.
</t>
    </r>
    <r>
      <rPr>
        <b/>
        <sz val="7"/>
        <color theme="1"/>
        <rFont val="Arial"/>
        <family val="2"/>
      </rPr>
      <t>Trimestre 4:</t>
    </r>
    <r>
      <rPr>
        <sz val="7"/>
        <color theme="1"/>
        <rFont val="Arial"/>
        <family val="2"/>
      </rPr>
      <t xml:space="preserve"> 1.De acuerdo a lo definido en la resolución de referencia, la evaluación de cumplimiento de estándares mínimos correspondió al 92.5 %.
2.Se ejecutaron 38 actividades de la 39 programadas en el plan de capacitaciones SST.
3. Se han ejecutado 258 horas de las 243 horas asignadas inicialmente por la ARL para reinversión, 15 adicionales a las presupuestadas.
Como acción para la mejora, se considera la definición del nuevo plan de trabajo para el año 2020 teniendo en cuenta las observaciones entregadas por los informes del DASC y el análisis de accidentalidad del año 2019.</t>
    </r>
  </si>
  <si>
    <r>
      <rPr>
        <b/>
        <sz val="7"/>
        <color theme="1"/>
        <rFont val="Arial"/>
        <family val="2"/>
      </rPr>
      <t xml:space="preserve">Trimestre 1: </t>
    </r>
    <r>
      <rPr>
        <sz val="7"/>
        <color theme="1"/>
        <rFont val="Arial"/>
        <family val="2"/>
      </rPr>
      <t xml:space="preserve">1, Se estudio todo el proceso implementado por el DASCD de meritocracia para el nivel Directivo. Adicional se han realizado cotizaciones de batería de pruebas para los trabajadores oficiales.
2, Reporte de actividades y avances de acuerdo con lo definido en el Plan Estratégico de Recursos Humanos.
3. El 12 de abril de 2019 se asistió a una reunión en el DASCD para solicitar concepto e instrucciones para empezar con la actualización de estos documentos.
</t>
    </r>
    <r>
      <rPr>
        <b/>
        <sz val="7"/>
        <color theme="1"/>
        <rFont val="Arial"/>
        <family val="2"/>
      </rPr>
      <t xml:space="preserve">Trimestre 2: </t>
    </r>
    <r>
      <rPr>
        <sz val="7"/>
        <color theme="1"/>
        <rFont val="Arial"/>
        <family val="2"/>
      </rPr>
      <t xml:space="preserve">• Se realizó el proceso de selección tanto para el nivel directivo como para los trabajadores oficiales y contratistas. Falta adquirir las pruebas.
• Se han realizado las capacitaciones por grupos de interés, lo cual ha garantizado que las personas asistan a las capacitaciones de temas del área al cual pertenecen.
• Se realizó el proceso de reestructuración solicitado, el cual se encuentra en estudio de la Subdirección financiara para obtener la viabilidad presupuestal.
</t>
    </r>
    <r>
      <rPr>
        <b/>
        <sz val="7"/>
        <color theme="1"/>
        <rFont val="Arial"/>
        <family val="2"/>
      </rPr>
      <t xml:space="preserve">Trimestre 3: </t>
    </r>
    <r>
      <rPr>
        <sz val="7"/>
        <color theme="1"/>
        <rFont val="Arial"/>
        <family val="2"/>
      </rPr>
      <t xml:space="preserve">Se realizó el proceso de selección tanto para el nivel directivo como para los trabajadores oficiales y contratistas. Falta adquirir las pruebas. El proceso esta en revisión en el área de Planeación y por el Subdirector Administrativo. 
Se han realizado las capacitaciones por grupos de interés, lo cual ha garantizado que las personas asistan a las capacitaciones de temas del área al cual pertenecen. Han participado activamente en las actividades realizadas de bienestar y SST.
Se realizó el proceso de reestructuración solicitado, La Subdirección financiara no emitió el concepto de viabilidad presupuestal. Por lo anterior el proceso esta interrumpido.
</t>
    </r>
    <r>
      <rPr>
        <b/>
        <sz val="7"/>
        <color theme="1"/>
        <rFont val="Arial"/>
        <family val="2"/>
      </rPr>
      <t xml:space="preserve">Trimestre 4: </t>
    </r>
    <r>
      <rPr>
        <sz val="7"/>
        <color theme="1"/>
        <rFont val="Arial"/>
        <family val="2"/>
      </rPr>
      <t>Se realizó el proceso de selección tanto para el nivel directivo como para los trabajadores oficiales y contratistas. Falta adquirir las pruebas. Falta la aprobación de los directivos.
Se han realizado las capacitaciones por grupos de interés, lo cual ha garantizado que las personas asistan a las capacitaciones de temas del área al cual pertenecen. Han participado activamente en las actividades realizadas de bienestar y SST.
Se realizó el proceso de reestructuración solicitado, La Subdirección financiara no emitió el concepto de viabilidad presupuestal. Por lo anterior el proceso esta interrumpido.</t>
    </r>
  </si>
  <si>
    <r>
      <rPr>
        <b/>
        <sz val="7"/>
        <color theme="1"/>
        <rFont val="Arial"/>
        <family val="2"/>
      </rPr>
      <t xml:space="preserve">Trimestre 1: </t>
    </r>
    <r>
      <rPr>
        <sz val="7"/>
        <color theme="1"/>
        <rFont val="Arial"/>
        <family val="2"/>
      </rPr>
      <t xml:space="preserve">Se analizó el cronograma de mantenimiento propuesto para el 2019 identificando que con el fin de generar una oportunidad de mejora, se replanteara el mismo en aras de continuar mejorando.
Se realizó el mantenimiento de acuerdo al Cronograma 2019 donde se ejecutaron 13 actividades  de manera adecuada: Inspecciones para detectar goteos y humedades (3), Limpieza de lavamanos y lavaplatos (3), lubricación de puertas (2), Limpieza lámparas recepción (1), Realizar mantenimiento correctivo y preventivo extintores e inventario (1), mantenimiento, ajuste en sillas (3) y Actividades a solicitud del servicio se realizaron 6 actividades  entre las cuales están: cambio de balastros y luminarias solicitadas en los meses de enero, febrero y marzo y Realizar reparaciones locativas arreglos techos, en los meses de enero, febrero  y marzo 2019.
</t>
    </r>
    <r>
      <rPr>
        <b/>
        <sz val="7"/>
        <color theme="1"/>
        <rFont val="Arial"/>
        <family val="2"/>
      </rPr>
      <t xml:space="preserve">Trimestre 2: </t>
    </r>
    <r>
      <rPr>
        <sz val="7"/>
        <color theme="1"/>
        <rFont val="Arial"/>
        <family val="2"/>
      </rPr>
      <t xml:space="preserve">Se realizó el mantenimiento de acuerdo al Cronograma 2019 donde se ejecutaron 11 actividades  de manera adecuada: Mantenimiento de Goteras (1), mantenimiento orinales, lavaplatos, triturador y sifón (3), mantenimiento puertas de acceso (1), limpieza lámparas recepción (1), mantenimiento hornos y cambio estufa eléctrica (2), mantenimiento muebles y enseres (1), Pintura oficinas y zonas comunes, recepción, oficina nuevos negocios, sala capacitación, oficina sistemas, servicios administrativos, sala de juntas (2). Se realizaron 4 actividades  a solicitud del servicio entre las cuales están: cambio de paneles led en los meses de mayo y junio y realizar reparaciones en las áreas deterioradas y adecuaciones de áreas de acuerdo a las necesidades y solicitudes las cuales se realizaron en los meses de mayo y junio 2019.
</t>
    </r>
    <r>
      <rPr>
        <b/>
        <sz val="7"/>
        <color theme="1"/>
        <rFont val="Arial"/>
        <family val="2"/>
      </rPr>
      <t xml:space="preserve">
Trimestre 3: </t>
    </r>
    <r>
      <rPr>
        <sz val="7"/>
        <color theme="1"/>
        <rFont val="Arial"/>
        <family val="2"/>
      </rPr>
      <t xml:space="preserve">Se realizó el mantenimiento de acuerdo al Cronograma 2019 donde se ejecutaron 9 actividades  de manera adecuada: 1. Mantenimiento de Goteras (1) 2. Mantenimiento Orinales, lavaplatos, triturador y sifón (1) 3. Mantenimiento puertas de acceso (1) 4. Limpieza lámparas recepción (1) 5. Mantenimiento muebles y enseres (3) 6. Pintura oficinas y zonas comunes, recepción, oficina nuevos negocios, sala capacitación, oficina sistemas, servicios administrativos, sala de juntas. (2).  7.Actividades a solicitud del servicio se realizaron 3 actividades  entre las cuales están: cambio de paneles led en los meses de  julio, agosto y septiembre  Realizar reparaciones en las áreas deterioradas y adecuaciones de áreas de acuerdo a las necesidades y solicitudes las cuales se realizaron en los meses de julio, agosto y septiembre  2019.
</t>
    </r>
    <r>
      <rPr>
        <b/>
        <sz val="7"/>
        <color theme="1"/>
        <rFont val="Arial"/>
        <family val="2"/>
      </rPr>
      <t xml:space="preserve">Trimestre 4: </t>
    </r>
    <r>
      <rPr>
        <sz val="7"/>
        <color theme="1"/>
        <rFont val="Arial"/>
        <family val="2"/>
      </rPr>
      <t>El área de servicios administrativos implemento un cronograma de mantenimientos locativos de la entidad, el cual permite tener en constate revisión la infraestructura física del canal.</t>
    </r>
  </si>
  <si>
    <r>
      <rPr>
        <b/>
        <sz val="7"/>
        <color theme="1"/>
        <rFont val="Arial"/>
        <family val="2"/>
      </rPr>
      <t xml:space="preserve">Trimestre 1: </t>
    </r>
    <r>
      <rPr>
        <sz val="7"/>
        <color theme="1"/>
        <rFont val="Arial"/>
        <family val="2"/>
      </rPr>
      <t xml:space="preserve">Una vez analizado el cronograma de Toma Físicas periódicas de inventarios, se concluye que el mismo es innecesario en virtud a que la Toma Física de inventarios anual se finalizó en el mes de diciembre de 2018. Por otro lado, es importante aclarar que esto, no generará una debilidad dado que se realizará la Toma Física de Inventarios anual de manera anticipada y con mayor tiempo de ejecución.
</t>
    </r>
    <r>
      <rPr>
        <b/>
        <sz val="7"/>
        <color theme="1"/>
        <rFont val="Arial"/>
        <family val="2"/>
      </rPr>
      <t xml:space="preserve">Trimestre 2: </t>
    </r>
    <r>
      <rPr>
        <sz val="7"/>
        <color theme="1"/>
        <rFont val="Arial"/>
        <family val="2"/>
      </rPr>
      <t xml:space="preserve">Para el segundo trimestre de 2019 no se evidencia avance en la toma física de inventarios teniendo en cuenta que su cronograma está aprobado por el comité de inventarios a partir del 15 de julio de 2019.
</t>
    </r>
    <r>
      <rPr>
        <b/>
        <sz val="7"/>
        <color theme="1"/>
        <rFont val="Arial"/>
        <family val="2"/>
      </rPr>
      <t xml:space="preserve">Trimestre 3: </t>
    </r>
    <r>
      <rPr>
        <sz val="7"/>
        <color theme="1"/>
        <rFont val="Arial"/>
        <family val="2"/>
      </rPr>
      <t xml:space="preserve">Para el tercer trimestre 2019 se programaron 38 tomas físicas de inventario de las cuales se realizaron un total de 26 tomas físicas con corte a 30 de septiembre de 2019.
</t>
    </r>
    <r>
      <rPr>
        <b/>
        <sz val="7"/>
        <color theme="1"/>
        <rFont val="Arial"/>
        <family val="2"/>
      </rPr>
      <t xml:space="preserve">Trimestre 4: </t>
    </r>
    <r>
      <rPr>
        <sz val="7"/>
        <color theme="1"/>
        <rFont val="Arial"/>
        <family val="2"/>
      </rPr>
      <t xml:space="preserve">Una vez planteado el cronograma de Toma Físicas  de Inventarios, se puede evidenciar que se le dio total cumplimiento al mismo, haciendo una verificación a todos los bienes del canal. Como acción de mejora, se evidencia que es necesario realizar 2 tomas físicas  adicionales a los elementos que son vulnerables a caída de placas. </t>
    </r>
  </si>
  <si>
    <r>
      <t xml:space="preserve">Trimestre 1: </t>
    </r>
    <r>
      <rPr>
        <sz val="7"/>
        <color theme="1"/>
        <rFont val="Arial"/>
        <family val="2"/>
      </rPr>
      <t>650 solicitudes de área técnica relacionadas con soporte y descarga de videos y el total restante en solicitudes de servicios relacionados con accesibilidad, telefonía, software, acompañamiento operativo, traslado de equipos entre otros servicios para el área de sistemas. Realizar actividades de capacitación a usuarios finales en herramientas ofimáticas y presentar una propuesta de centralización de servicios de impresión.</t>
    </r>
    <r>
      <rPr>
        <b/>
        <sz val="7"/>
        <color theme="1"/>
        <rFont val="Arial"/>
        <family val="2"/>
      </rPr>
      <t xml:space="preserve">
Trimestre 2: </t>
    </r>
    <r>
      <rPr>
        <sz val="7"/>
        <color theme="1"/>
        <rFont val="Arial"/>
        <family val="2"/>
      </rPr>
      <t>Trimestre 2: 580 solicitudes de área técnica relacionadas con soporte y descarga de videos y el total restante en solicitudes de servicios relacionados con accesibilidad, telefonía, software, acompañamiento operativo, traslado de equipos entre otros servicios para el área de sistemas</t>
    </r>
    <r>
      <rPr>
        <b/>
        <sz val="7"/>
        <color theme="1"/>
        <rFont val="Arial"/>
        <family val="2"/>
      </rPr>
      <t xml:space="preserve">
Trimestre 3: </t>
    </r>
    <r>
      <rPr>
        <sz val="7"/>
        <color theme="1"/>
        <rFont val="Arial"/>
        <family val="2"/>
      </rPr>
      <t>830 solicitudes correspondientes a soporte para la descarga de videos, conversión y solicitudes relacionadas con la producción de televisión, el total restante correspondiente a servicios de telefonía, soporte a terminales e impresoras. Como  acción para la mejora, se realiza capacitación al personal de soporte para la correcta configuración y soporte a equipos terminales e impresoras.</t>
    </r>
    <r>
      <rPr>
        <b/>
        <sz val="7"/>
        <color theme="1"/>
        <rFont val="Arial"/>
        <family val="2"/>
      </rPr>
      <t xml:space="preserve">
Trimestre 4: </t>
    </r>
    <r>
      <rPr>
        <sz val="7"/>
        <color theme="1"/>
        <rFont val="Arial"/>
        <family val="2"/>
      </rPr>
      <t>1020 solicitudes correspondientes a la restauración de data, videos, conversión y solicitudes relacionadas a la producción de televisión, el total restante se configuro en soporte de red, usuario final, impresión y data entre otros, teniendo en cuenta que se incrementó esta cifra por el cambio de directorio activo que generó múltiples solicitudes de soporte.</t>
    </r>
  </si>
  <si>
    <r>
      <rPr>
        <b/>
        <sz val="7"/>
        <color theme="1"/>
        <rFont val="Arial"/>
        <family val="2"/>
      </rPr>
      <t xml:space="preserve">Trimestre 1: </t>
    </r>
    <r>
      <rPr>
        <sz val="7"/>
        <color theme="1"/>
        <rFont val="Arial"/>
        <family val="2"/>
      </rPr>
      <t xml:space="preserve">los servicios están relacionados con apertura de puertos para servicios de Streaming, conectividad, configuración de interfaces y protocolos de directorio activo. gestionar la actualización del servidor de dominio en políticas y controles de usuario.
</t>
    </r>
    <r>
      <rPr>
        <b/>
        <sz val="7"/>
        <color theme="1"/>
        <rFont val="Arial"/>
        <family val="2"/>
      </rPr>
      <t>Trimestre 2:</t>
    </r>
    <r>
      <rPr>
        <sz val="7"/>
        <color theme="1"/>
        <rFont val="Arial"/>
        <family val="2"/>
      </rPr>
      <t xml:space="preserve"> Los servicios están relacionados con el tráfico de paquetes en servicio de Streaming, conectividad WiFi, Telefonía IP, aplicaciones área financiera y copias de respaldo.
</t>
    </r>
    <r>
      <rPr>
        <b/>
        <sz val="7"/>
        <color theme="1"/>
        <rFont val="Arial"/>
        <family val="2"/>
      </rPr>
      <t>Trimestre 3:</t>
    </r>
    <r>
      <rPr>
        <sz val="7"/>
        <color theme="1"/>
        <rFont val="Arial"/>
        <family val="2"/>
      </rPr>
      <t xml:space="preserve"> Los servicios están relacionados con apertura de puertos para servicios de Streaming, conectividad, configuración de interfaces y protocolos de directorio activo.
</t>
    </r>
    <r>
      <rPr>
        <b/>
        <sz val="7"/>
        <color theme="1"/>
        <rFont val="Arial"/>
        <family val="2"/>
      </rPr>
      <t>Trimestre 4:</t>
    </r>
    <r>
      <rPr>
        <sz val="7"/>
        <color theme="1"/>
        <rFont val="Arial"/>
        <family val="2"/>
      </rPr>
      <t xml:space="preserve"> Con el propósito de obtener una mayor disponibilidad y seguridad de la data, se hace necesario la adquisición, configuración y gestión de nuevos equipos que proporcionen una mayor disponibilidad en temas de servicio y seguridad en cuanto a su configuración y acceso, esto para el caso de servidores, unidades de almacenamiento y equipos activos de red.</t>
    </r>
  </si>
  <si>
    <r>
      <rPr>
        <b/>
        <sz val="7"/>
        <color theme="1"/>
        <rFont val="Arial"/>
        <family val="2"/>
      </rPr>
      <t xml:space="preserve">Trimestre 1: </t>
    </r>
    <r>
      <rPr>
        <sz val="7"/>
        <color theme="1"/>
        <rFont val="Arial"/>
        <family val="2"/>
      </rPr>
      <t xml:space="preserve">para el primer trimestre del año no se programaron actividades de mantenimiento preventivo de equipos, debido a que en el mes de enero se culminó la labor de mantenimiento programado en la vigencia 2018, por lo cual dichas actividades tendrán inicio en mayo de 2019. Con las actividades programadas para 2019, se solicitó generar reporte manual de software instalado con el fin de dar respuesta a las acciones de mejora definidas en el plan de mejoramiento del área de sistemas orientado a mantener el control estandarizado de los activos de software. Como acción para la mejora, se propone realizar el inventario de hardware y software en el proceso de mantenimiento de equipos teniendo en cuenta las recomendaciones y acciones de mejora propuestas en el plan de mejoramiento del área de sistemas.
</t>
    </r>
    <r>
      <rPr>
        <b/>
        <sz val="7"/>
        <color theme="1"/>
        <rFont val="Arial"/>
        <family val="2"/>
      </rPr>
      <t xml:space="preserve">Trimestre 2: </t>
    </r>
    <r>
      <rPr>
        <sz val="7"/>
        <color theme="1"/>
        <rFont val="Arial"/>
        <family val="2"/>
      </rPr>
      <t xml:space="preserve">Para el segundo trimestre se programó una actividad de mantenimiento preventivo de equipos. Con las actividades programadas se actualiza inventario general de equipos, adicionalmente se gestiona el agente de características a nivel de hardware y software. Se deberá realizar actividades comparativas con el software de gestión del hardware con el fin de garantizar el correcto funcionamiento de los equipos terminales de datos.
</t>
    </r>
    <r>
      <rPr>
        <b/>
        <sz val="7"/>
        <color theme="1"/>
        <rFont val="Arial"/>
        <family val="2"/>
      </rPr>
      <t>Trimestre 3:</t>
    </r>
    <r>
      <rPr>
        <sz val="7"/>
        <color theme="1"/>
        <rFont val="Arial"/>
        <family val="2"/>
      </rPr>
      <t xml:space="preserve"> para el trimestre no se programaron actividades de mantenimiento de equipos de computo y equipos, se realizaron las tareas de mantenimiento correctivo a demanda las cuales no son programadas.
</t>
    </r>
    <r>
      <rPr>
        <b/>
        <sz val="7"/>
        <color theme="1"/>
        <rFont val="Arial"/>
        <family val="2"/>
      </rPr>
      <t xml:space="preserve">Trimestre 4: </t>
    </r>
    <r>
      <rPr>
        <sz val="7"/>
        <color theme="1"/>
        <rFont val="Arial"/>
        <family val="2"/>
      </rPr>
      <t xml:space="preserve">Se programo el mantenimiento preventivo de equipos de computo y terminales de datos de la entidad el cual se ejecutó en el mes de diciembre con el cual también se levantó la información de software e inventario. </t>
    </r>
  </si>
  <si>
    <r>
      <rPr>
        <b/>
        <sz val="7"/>
        <rFont val="Arial"/>
        <family val="2"/>
      </rPr>
      <t>Trimestre 1:</t>
    </r>
    <r>
      <rPr>
        <sz val="7"/>
        <rFont val="Arial"/>
        <family val="2"/>
      </rPr>
      <t xml:space="preserve"> Para el primer trimestre el área de sistemas adelantó la estructuración de los procesos contractuales que den cabida a la ejecución presupuestal contenida en el plan anual de adquisiciones y que hace parte del Plan Estratégico de la entidad.
</t>
    </r>
    <r>
      <rPr>
        <b/>
        <sz val="7"/>
        <rFont val="Arial"/>
        <family val="2"/>
      </rPr>
      <t>Trimestre 2:</t>
    </r>
    <r>
      <rPr>
        <sz val="7"/>
        <rFont val="Arial"/>
        <family val="2"/>
      </rPr>
      <t xml:space="preserve"> Para el segundo trimestre, se ejecutó la adquisición de equipos (proyecto de renovación tecnológica), contratación del desarrollo del software intranet (contemplado en las rupturas estratégicas de la entidad), adquisición del hardware de almacenamiento SAN (proyecto de almacenamiento SAN).
</t>
    </r>
    <r>
      <rPr>
        <b/>
        <sz val="7"/>
        <rFont val="Arial"/>
        <family val="2"/>
      </rPr>
      <t xml:space="preserve">Trimestre 3: </t>
    </r>
    <r>
      <rPr>
        <sz val="7"/>
        <rFont val="Arial"/>
        <family val="2"/>
      </rPr>
      <t xml:space="preserve">Para el tercer trimestre del año se realizó la contratación del modulo de software de gestión documental (proyecto de modernización administrativa) y el inicio de implementación del hardware de almacenamiento SAN. 
</t>
    </r>
    <r>
      <rPr>
        <b/>
        <sz val="7"/>
        <rFont val="Arial"/>
        <family val="2"/>
      </rPr>
      <t xml:space="preserve">Trimestre 4: </t>
    </r>
    <r>
      <rPr>
        <sz val="7"/>
        <rFont val="Arial"/>
        <family val="2"/>
      </rPr>
      <t>Se realizó la implementación de la unidad de almacenamiento SAN, despliegue y puesta en marcha, migración de directorio activo y servidores de aplicación, data, web entre otros fueron actualizados, migrados o remplazados, así como el total de los equipos de computo y usuarios de red depurados y configurados.</t>
    </r>
  </si>
  <si>
    <r>
      <rPr>
        <b/>
        <sz val="7"/>
        <color theme="1"/>
        <rFont val="Arial"/>
        <family val="2"/>
      </rPr>
      <t xml:space="preserve">Trimestre 1: </t>
    </r>
    <r>
      <rPr>
        <sz val="7"/>
        <color theme="1"/>
        <rFont val="Arial"/>
        <family val="2"/>
      </rPr>
      <t xml:space="preserve">Frente al componente del plan de mejoramiento archivístico vigencia 2019, en el primer trimestre se atendió la visita de seguimiento a la normatividad archivística el día 05 y 06 de marzo de 2019, y finales de marzo se recibió el informe de esta visita. Es de aclara que a este informe se solicito al Consejo distrital de Archivo la revisión del mismo teniendo en cuenta que el Canal no se encuentra de acuerdo con lo establecido en este informe. Se planteara plan de mejoramiento para lo informado en la visita de seguimiento a la normatividad archivística.
</t>
    </r>
    <r>
      <rPr>
        <b/>
        <sz val="7"/>
        <color theme="1"/>
        <rFont val="Arial"/>
        <family val="2"/>
      </rPr>
      <t>Trimestre 2:</t>
    </r>
    <r>
      <rPr>
        <sz val="7"/>
        <color theme="1"/>
        <rFont val="Arial"/>
        <family val="2"/>
      </rPr>
      <t xml:space="preserve"> Frente al componente del plan de mejoramiento archivístico vigencia 2019, en el segundo trimestre se realizó el planteamiento de las actividades para ejecutar la acción de los hallazgos emitidos por el área de control interno, a la espera de su aprobación.
</t>
    </r>
    <r>
      <rPr>
        <b/>
        <sz val="7"/>
        <color theme="1"/>
        <rFont val="Arial"/>
        <family val="2"/>
      </rPr>
      <t>Trimestre 3:</t>
    </r>
    <r>
      <rPr>
        <sz val="7"/>
        <color theme="1"/>
        <rFont val="Arial"/>
        <family val="2"/>
      </rPr>
      <t xml:space="preserve"> Frente al componente del plan de mejoramiento archivístico vigencia 2019, en el tercer trimestre se ejecutaron en un 60% las actividades planteadas para mitigar  los hallazgos emitidos por el área de control interno.
</t>
    </r>
    <r>
      <rPr>
        <b/>
        <sz val="7"/>
        <color theme="1"/>
        <rFont val="Arial"/>
        <family val="2"/>
      </rPr>
      <t xml:space="preserve">Trimestre 4: </t>
    </r>
    <r>
      <rPr>
        <sz val="7"/>
        <color theme="1"/>
        <rFont val="Arial"/>
        <family val="2"/>
      </rPr>
      <t>Frente al componente del plan de mejoramiento archivístico vigencia 2019, en el cuarto trimestre se ejecutaron en un 80% las actividades planteadas para mitigar  los hallazgos emitidos por el área de control interno.</t>
    </r>
  </si>
  <si>
    <r>
      <rPr>
        <b/>
        <sz val="7"/>
        <rFont val="Arial"/>
        <family val="2"/>
      </rPr>
      <t xml:space="preserve">Trimestre 1: </t>
    </r>
    <r>
      <rPr>
        <sz val="7"/>
        <rFont val="Arial"/>
        <family val="2"/>
      </rPr>
      <t xml:space="preserve">De acuerdo a los componentes propuestos en el PINAR para el año 2019, a continuación se relaciona el avance del primer trimestre:
Componente 1: La organización de archivos se tiene de acuerdo a la Transferencia primarias recibidas en Gestión Documental (Mercadeo y ventas, Atención al Usuario, recepción y correspondencia, Secretaria General, Control Interno, Grupo de Programación , Grupo de trabajo Jurídico).
Componente 2: Se realizo levantamiento de información (entrevistas a todas las áreas de la entidad), propuesta de la actualización de la Tabla de Retención Documental a todas las áreas de la entidad y presentación de la actualización de las Tablas de Retención Documental al Subdirector Administrativo.
Componente 3:  Documento aprobado y publicado en Intranet (Modelo de Gestión de Documentos Electrónico y Guía de Documentos Electrónico).
Se esta realizando capacitaciones antes de las transferencias documentales a las diferentes áreas, con el fin de que la organización y entrega quede completa de la documentación.
Se esta realizando mesas de trabajo previas al proceso de convalidación de las tablas de retención documental.
Se tendrá en cuenta las observaciones entregadas en el informe de seguimiento a la normatividad archivística para mejorar los documentos publicados.
</t>
    </r>
    <r>
      <rPr>
        <b/>
        <sz val="7"/>
        <rFont val="Arial"/>
        <family val="2"/>
      </rPr>
      <t xml:space="preserve">Trimestre 2: </t>
    </r>
    <r>
      <rPr>
        <sz val="7"/>
        <rFont val="Arial"/>
        <family val="2"/>
      </rPr>
      <t xml:space="preserve">De acuerdo a los componentes propuestos en el PINAR para el año 2019, a continuación se relaciona el avance del segundo trimestre:
Componente 1: La organización de archivos se tiene de acuerdo a la Transferencia primarias recibidas en Gestión Documental (Grupo de Trabajo Jurídico, Talento Humano y Procesos Disciplinarios).
Componente 2: Se envió la propuesta de la tabla de retención  documental de la Secretaria General, al Archivo Bogotá; y se realizó mesa técnica para revisar los ajustes a la Tabla de retención Documental enviada al Archivo Bogotá.
Componente 3: Documento aprobado y publicado en Intranet (Se realizó mesa técnica para revisar las observaciones del documento del Sistema de Gestión de Documento Electrónico de Archivo).
</t>
    </r>
    <r>
      <rPr>
        <b/>
        <sz val="7"/>
        <rFont val="Arial"/>
        <family val="2"/>
      </rPr>
      <t xml:space="preserve">Trimestre 3: </t>
    </r>
    <r>
      <rPr>
        <sz val="7"/>
        <rFont val="Arial"/>
        <family val="2"/>
      </rPr>
      <t xml:space="preserve">De acuerdo a los componentes propuestos en el PINAR para el año 2019, a continuación se relaciona el avance del tercer trimestre:
Componente 1: La organización de archivos se tiene de acuerdo a la Transferencia primarias recibidas en Gestión Documental (Dirección Operativa, Grupo Técnico de TV, Tesorería, Presupuesto, Facturación, Contabilidad y Servicios Administrativos).
Componente 2: Se realizaron los ajustes solicitados en la mesa técnica, se actualizaron los Cuadros de Clasificación Documental, Cuadros de Caracterización Documental y Fichas de Valoración, posteriormente se enviaron las propuestas a cada una de las áreas para revisión y aprobación.
Componente 3: Se asistió a la mesa técnica, se realizó el levantamiento de requisitos y se ajusto el documento.
Como acciones para la mejora, se proponen: continuar con el cumplimiento de las transferencias primarias según lo establecido en el cronograma haciendo un acompañamiento y capacitaciones constantes a cada una de las áreas, realizar los ajustes solicitados por las áreas y enviar las propuestas de las TRD al Archivo Distrital de Bogotá para su revisión, presentar el documento ajustado al Subdirector Administrativo y enviar al Archivo Distrital de Bogotá para su revisión.
</t>
    </r>
    <r>
      <rPr>
        <b/>
        <sz val="7"/>
        <rFont val="Arial"/>
        <family val="2"/>
      </rPr>
      <t>Trimestre 4:</t>
    </r>
    <r>
      <rPr>
        <sz val="7"/>
        <rFont val="Arial"/>
        <family val="2"/>
      </rPr>
      <t xml:space="preserve"> De acuerdo a los componentes propuestos en el PINAR para el año 2019, a continuación se relaciona el avance del cuarto trimestre:
Componente 1: Se realizo la recepción de todas las transferencias primarias según lo establecido en el cronograma.
Componente 2: Se aprobaron las propuestas de TRD por parte de los responsables de cada área productora  y se enviaron propuestas de TRD al Archivo de Bogotá. 
Componente 3: Revisión del documento con el programador del Software de Gestión Documental Canal Capital y publicación del documento en la Intranet.</t>
    </r>
  </si>
  <si>
    <r>
      <rPr>
        <b/>
        <sz val="7"/>
        <rFont val="Arial"/>
        <family val="2"/>
      </rPr>
      <t xml:space="preserve">Trimestre 1: </t>
    </r>
    <r>
      <rPr>
        <sz val="7"/>
        <rFont val="Arial"/>
        <family val="2"/>
      </rPr>
      <t xml:space="preserve">Durante el primer trimestre se adelantaron actividades de gestión, se realizó la divulgación de piezas comunicativas a través del correo institucional relacionados con la gestión de residuos, buen uso de los sistemas ahorradores y buen manejo de la energía dentro y fuera del Canal.  Por otro lado se adelantaron actividades enfocadas en garantizar el cumplimiento de las acciones de gestión ambiental faltantes, a través de la elaboración de los trámites precontractuales para la adquisición de los sistemas de iluminación LED, los sistemas ahorradores faltantes y los elementos para la adecuación del bici parqueadero del Canal, si bien estas a actividades no se han finalizado si contribuyen con el desarrollo del PIGA y hacen parte fundamental de su cumplimiento. Respecto a las actividades programadas para el primer trimestre el retraso evidenciado se asocia con la inclusión de cláusulas de sostenibilidad en los contratos priorizados en el programa de consumo sostenible, los contratos pendientes han sido revisados por los correspondientes supervisores para hacer la inclusión de las cláusulas en los mismos. 
</t>
    </r>
    <r>
      <rPr>
        <b/>
        <sz val="7"/>
        <rFont val="Arial"/>
        <family val="2"/>
      </rPr>
      <t xml:space="preserve">Trimestre 2: </t>
    </r>
    <r>
      <rPr>
        <sz val="7"/>
        <rFont val="Arial"/>
        <family val="2"/>
      </rPr>
      <t xml:space="preserve">Dentro de este periodo se avanzó con la ejecución contractual asociada a los programas de ahorro y uso eficiente de agua y energía con una ejecución del 100% cada uno y un 65% de ejecución para el programa de movilidad sostenible y la adecuación de la estructura de techo del biciparqueadero, así mismo con la realización de la semana ambiental se logró contribuir con el fortalecimiento de diferentes componentes del PIGA y se abordaron todos los programas ambientales en una sola semana. Por otro lado se logró capacitar a más de 100 colaboradores en gestión de residuos lo cual contribuye a mejorar las condiciones ambientales en ese aspecto. 
</t>
    </r>
    <r>
      <rPr>
        <b/>
        <sz val="7"/>
        <rFont val="Arial"/>
        <family val="2"/>
      </rPr>
      <t xml:space="preserve">Trimestre 3: </t>
    </r>
    <r>
      <rPr>
        <sz val="7"/>
        <rFont val="Arial"/>
        <family val="2"/>
      </rPr>
      <t xml:space="preserve">Dentro de este periodo se adelantaron actividades asociadas con el  cuidad del agua y la energía específicamente en materia de inspecciones así como la generación de informes asociados con el consumo de agua, energía y generación de residuos en el Canal, así mismo se trabajó en la parte de comunicación haciendo la divulgación de piezas comunicativas asociadas con el cuidado y buen uso del agua, la energía, la gestión de residuos y la eco conducción, por otro lado de capacitó a diferentes colaboradores en materia de gestión de residuos peligrosos y no peligrosos. Las jornadas de capacitación siguen siendo uno de los temas de mayor dificultad debido a la baja participación y al escaso interés por parte de los colaboradores en los temas de gestión ambiental, así mismo, las comunicación internas son  100% efectivas y requieren mayor refuerzo y apoyo desde la coordinación de comunicaciones. Por otro lado es importante resaltar que se han fortalecido las gestiones en materia de comunicación y se ha realizado una gestión de las herramientas tecnológicas para hacer la transmisión de la información a través de videos en todos los computadores del Canal, los mismos han sido tanto elaboración propia como de entidades como la UAESP. 
</t>
    </r>
    <r>
      <rPr>
        <b/>
        <sz val="7"/>
        <rFont val="Arial"/>
        <family val="2"/>
      </rPr>
      <t xml:space="preserve">Trimestre 4: </t>
    </r>
    <r>
      <rPr>
        <sz val="7"/>
        <rFont val="Arial"/>
        <family val="2"/>
      </rPr>
      <t xml:space="preserve">Para el cuatro trimestre del año se finalizó la ejecución del Plan de Acción PIGA a través de acciones principalmente de control orientadas a promover el uso eficiente de agua y energía y la gestión integral de residuos. Se realizaron las inspecciones faltantes a los sistemas de iluminación, puntos de agua y puntos ecológicos y se divulgaron piezas comunicativas orientadas a promover buenas prácticas ambientales en materia de agua, energía  y eco conducción.  El sobrecumplimiento de la meta para el mes de diciembre se asocia con el desarrollo de las acciones pendientes del mes de enero relacionadas con el programa de consumo sostenible del Canal. Se cumplió con el Plan de Acción en un 100%, con la formulación del Plan de Acción PIGA 2020 se procura abordar estrategias que garanticen el fortalecimiento de la gestión ambiental institucional. 
El indicador tuvo un comportamiento estable en lo corrido del años 2019, en el del primer trimestre se presentó un retraso asociado con el programa de consumo sostenible, sin embargo el mismo pudo ser subsanado para el cuarto trimestre cumpliendo en un 100% las acciones programadas en el Plan de Acción PIGA de la vigencia, las dificultades en el desarrollo y ejecución del PIGA se tuvieron en cuenta en la formulación del Plan de Acción PIGA para la vigencia 2020. </t>
    </r>
  </si>
  <si>
    <r>
      <rPr>
        <b/>
        <sz val="7"/>
        <rFont val="Arial"/>
        <family val="2"/>
      </rPr>
      <t xml:space="preserve">Trimestre 1: </t>
    </r>
    <r>
      <rPr>
        <sz val="7"/>
        <rFont val="Arial"/>
        <family val="2"/>
      </rPr>
      <t xml:space="preserve">Durante el primer trimestres  la entidad presentó un porcentaje de ejecución de recaudo del 41,78% equivalente a $20.998 millones frente al total apropiado, quedando pendiente un saldo por valor de $29.262 millones; es de aclarar que se presenta un alto porcentaje de recaudo debido a las transferencias realizadas por la Secretaria Distrital de Hacienda por valor de 11.200 millones, no obstante, dichos dineros son destinados a respaldar parte de las obligaciones de funcionamiento de la entidad y traslado de la sede. Ingresos corrientes: Presentó un recaudo efectivo de $5.929 millones, equivalentes al 34,86% de la apropiación, detallados así: Comercialización Directa: recaudo por valor de $1.618 millones equivalente al 18,00%;Cuentas por Cobrar: presenta un recaudado de $4.296 millones equivalentes al 54,03%, dicho rubro representa los recursos para cubrir las cuentas por pagar y los contratos suscritos en la vigencia 2018 de servicios de BTL y apoyo logístico, el  saldo pendiente de recaudo es por valor de $3.655 millones de pesos; Otros Ingresos de Explotación: con un recaudo de $ 14 millones, correspondientes al 28,93%,  el saldo de $35 millones. Dentro de los ingresos el rubro de menor porcentaje de recaudo corresponde a la comercialización directa, para lo cual la entidad debe revisar sus metas y planes de ventas, con el objetivo de incrementar los ingresos y disminuir el posible déficit o realizar el replanteamiento de los compromisos pendientes a ser ejecutados con cargo a esta fuente de financiación.
</t>
    </r>
    <r>
      <rPr>
        <b/>
        <sz val="7"/>
        <rFont val="Arial"/>
        <family val="2"/>
      </rPr>
      <t xml:space="preserve">
Trimestre 2: </t>
    </r>
    <r>
      <rPr>
        <sz val="7"/>
        <rFont val="Arial"/>
        <family val="2"/>
      </rPr>
      <t xml:space="preserve">El presupuesto disponible de ingresos al cierre del trimestre ascendió en $53.640 millones, los ajustes realizados  fueron por valor de $3.180 millones (ajuste por cierre fiscal) en el mes de mayo y  en el mes de junio por valor de $200 millones (ajuste por convenios).
El acumulado con corte a junio presentó ejecución de ingresos por valor de $35.804  equivalentes al  66,75% del total del presupuesto apropiado, clasificado en grandes agregados así: Ingresos corrientes: ejecución del 64,06% equivalente a $10.872 millones. Transferencias: ejecución de $17.596 millones equivalentes al 60,51%. Recursos de Capital: ejecución del 31,10% por valor de $115 millones.
</t>
    </r>
    <r>
      <rPr>
        <b/>
        <sz val="7"/>
        <rFont val="Arial"/>
        <family val="2"/>
      </rPr>
      <t xml:space="preserve">Trimestre 3: </t>
    </r>
    <r>
      <rPr>
        <sz val="7"/>
        <rFont val="Arial"/>
        <family val="2"/>
      </rPr>
      <t xml:space="preserve">El presupuesto disponible de ingresos para el tercer trimestre ascendió en $63.662 millones, los ajustes realizados  fueron por valor de $10.021 millones, adicionando el rubro de Comercialización directa por valor de $6.732 millones de acuerdo a suscripción de contratos interadministrativos y adición al rubro de televisión pública por valor de $3.289 por la asignación de recursos para proyectos especiales de la ANTV. El acumulado con corte a septiembre presentó ejecución de ingresos por valor de $56.442 equivalentes al  75,52% del total del presupuesto apropiado, clasificado en grandes agregados así: 
Ingresos corrientes: ejecución del 81,71% equivalente a $19.367 millones. Transferencias: ejecución del 70,66% equivalente $22.872 millones. Recursos de Capital: ejecución del 104,16% por valor de $385 millones.
</t>
    </r>
    <r>
      <rPr>
        <b/>
        <sz val="7"/>
        <rFont val="Arial"/>
        <family val="2"/>
      </rPr>
      <t xml:space="preserve">Trimestre 4: </t>
    </r>
    <r>
      <rPr>
        <sz val="7"/>
        <rFont val="Arial"/>
        <family val="2"/>
      </rPr>
      <t>Mediante resolución 164-2019 (04/12/2019), se realizó sustitución de ingresos entre agregados, por valor de $8.300 millones por la no ejecución de los recursos que fueros aprobados para la financiación del traslado de la sede de Canal Capital, quedando un presupuesto definitivo del rubro “comercialización directa” por valor de $$27.314 millones. El presupuesto de ingresos a 31 de diciembre presentó recuadro por valor $64.012 cumpliendo con el 100% de las metas de recaudo planteadas para la vigencia 2019, clasificado en grandes agregados así: -Ingresos corrientes: Presentó un recaudo efectivo de $32.251 millones, equivalentes al 100,78%% de la apropiación. -Transferencias: se recibieron desembolsos por $24.085 millones, equivalentes al 100,07%. -Recursos de Capital: Recaudo efectivo de $455 millones, equivalentes al 123,14% del presupuesto aprobado.</t>
    </r>
  </si>
  <si>
    <r>
      <rPr>
        <b/>
        <sz val="7"/>
        <rFont val="Arial"/>
        <family val="2"/>
      </rPr>
      <t>Trimestre 1:</t>
    </r>
    <r>
      <rPr>
        <sz val="7"/>
        <rFont val="Arial"/>
        <family val="2"/>
      </rPr>
      <t xml:space="preserve"> Durante el primer trimestres  la entidad presentó un porcentaje de ejecución de recaudo del 41,78% equivalente a $20.998 millones frente al total apropiado, quedando pendiente un saldo por valor de $29.262 millones; es de aclarar que se presenta un alto porcentaje de recaudo debido a las transferencias realizadas por la Secretaria Distrital de Hacienda por valor de 11.200 millones, no obstante, dichos dineros son destinados a respaldar parte de las obligaciones de funcionamiento de la entidad y traslado de la sede. Ingresos corrientes: Presentó un recaudo efectivo de $5.929 millones, equivalentes al 34,86% de la apropiación, detallados así: Comercialización Directa: recaudo por valor de $1.618 millones equivalente al 18,00%;Cuentas por Cobrar: presenta un recaudado de $4.296 millones equivalentes al 54,03%, dicho rubro representa los recursos para cubrir las cuentas por pagar y los contratos suscritos en la vigencia 2018 de servicios de BTL y apoyo logístico, el  saldo pendiente de recaudo es por valor de $3.655 millones de pesos; Otros Ingresos de Explotación: con un recaudo de $ 14 millones, correspondientes al 28,93%,  el saldo de $35 millones. Dentro de los ingresos el rubro de menor porcentaje de recaudo corresponde a la comercialización directa, para lo cual la entidad debe revisar sus metas y planes de ventas, con el objetivo de incrementar los ingresos y disminuir el posible déficit o realizar el replanteamiento de los compromisos pendientes a ser ejecutados con cargo a esta fuente de financiación.
</t>
    </r>
    <r>
      <rPr>
        <b/>
        <sz val="7"/>
        <rFont val="Arial"/>
        <family val="2"/>
      </rPr>
      <t xml:space="preserve">Trimestre 2: </t>
    </r>
    <r>
      <rPr>
        <sz val="7"/>
        <rFont val="Arial"/>
        <family val="2"/>
      </rPr>
      <t xml:space="preserve">El presupuesto definitivo de gastos fue de  $53.640 millones, por los ajustes y traslados presupuestales para cubrir  las obligaciones  derivadas de la asignación de recursos para proyectos especiales de la ANTV, la suscripción de contratos interadministrativos entre entidades distritales para prestar  servicios de BTL, operación logística y plan de medios., se clasifican en grandes agregados así: Funcionamiento: ejecutado el 52,15% por valor de $5.591 millones, de los cuales se efectuaron pagos de $3.454 millones equivalentes al 32,22% frente al total apropiado. Operación: ejecutado el 67,08% equivalente a $23.863 millones de los cuales se efectuaron giros por $13.733 millones correspondientes al 38,61%. Inversión: presentó compromisos del 67,74% equivalente a $4.565 millones y giros de las obligaciones adquiridas del 30,25% por valor de $2.038 millones.
</t>
    </r>
    <r>
      <rPr>
        <b/>
        <sz val="7"/>
        <rFont val="Arial"/>
        <family val="2"/>
      </rPr>
      <t xml:space="preserve">Trimestre 3: </t>
    </r>
    <r>
      <rPr>
        <sz val="7"/>
        <rFont val="Arial"/>
        <family val="2"/>
      </rPr>
      <t xml:space="preserve">El presupuesto definitivo de gastos fue de  $63.662 millones, por la asignación de recursos para proyectos especiales de la ANTV y la suscripción del contrato interadministrativo, se adicionaron los rubros: Operación Logística, BTL, Plan de Medios y Asociados por valor de $ 5.232 millones; Producción de Televisión por valor de $1.500 millones, Televisión pública por valor de $3.001 millones y desarrollo por valor de $288 millones. Funcionamiento: ejecutado el 67,06% por valor de $7.189 millones, de los cuales se efectuaron pagos de $5.546 millones equivalentes al 51,73% frente al total apropiado.
Operación: ejecutado el 78,70% equivalente a $33.295 millones de los cuales se efectuaron giros por $20.499 millones correspondientes al 48,46%. Inversión: presentó compromisos del 91,42% equivalente a $9.233 millones y giros de las obligaciones adquiridas del 42,27% por valor de $4.269 millones.
</t>
    </r>
    <r>
      <rPr>
        <b/>
        <sz val="7"/>
        <rFont val="Arial"/>
        <family val="2"/>
      </rPr>
      <t xml:space="preserve">Trimestre 4: </t>
    </r>
    <r>
      <rPr>
        <sz val="7"/>
        <rFont val="Arial"/>
        <family val="2"/>
      </rPr>
      <t>A 31 de diciembre el presupuesto definitivo de gastos fue de  $63.662 millones, se adquirieron compromisos por valor de $59.217 millones equivalente al 93,81% de los cuales se giraron el 85,98%  el restantes por valor de $4.943 millones queda para ser constituidas las cuentas por pagar  
-Funcionamiento: ejecutado el 82,39% equivalente a $8.834 millones, de los cuales se efectuaron giros por valor de $8.292 millones correspondiente al 77,34%. -Operación: Comprometido $40.537 millones equivalentes al 95,82% de la apropiación, con pagos efectivos por valor de $36.479 millones correspondientes al 86.23%. -Inversión: ejecutado el 97,48%, equivalentes a $9.846 millones, con giros efectivos de $9.502 millones correspondientes al 94,08% de los compromisos adquiridos.</t>
    </r>
  </si>
  <si>
    <r>
      <rPr>
        <b/>
        <sz val="7"/>
        <rFont val="Arial"/>
        <family val="2"/>
      </rPr>
      <t xml:space="preserve">Trimestre 1: </t>
    </r>
    <r>
      <rPr>
        <sz val="7"/>
        <rFont val="Arial"/>
        <family val="2"/>
      </rPr>
      <t xml:space="preserve">A 31 de marzo de 2019, se obtuvo una gestión de cobro del 81,75%, es decir $5,915 millones en efectivo + $263 millones que corresponde a los descuentos efectuados por estampillas, volumen agencia y retenciones de Ley; lo anterior, frente a un total facturado de $7,557 millones incluido IVA por concepto de servicios de BTL, Pauta Publicitaria, Emisión de programas y Producción de Televisión. La cartera constituida a la misma fecha ($1,379 millones) bajo estos conceptos, se clasificó así: el 36% corresponde a la facturación emitida entre 0 y 30 días; el 53%, entre 31-60 días; el 2% entre 61-90 días y el 9% a la  facturación pendiente de recaudo con mas de 90 días.  Se concluye que fue efectiva la rotación de cartera en el trimestre. 
</t>
    </r>
    <r>
      <rPr>
        <b/>
        <sz val="7"/>
        <rFont val="Arial"/>
        <family val="2"/>
      </rPr>
      <t xml:space="preserve">Trimestre 2: </t>
    </r>
    <r>
      <rPr>
        <sz val="7"/>
        <rFont val="Arial"/>
        <family val="2"/>
      </rPr>
      <t xml:space="preserve">Al cierre del segundo trimestre se evidenció un cumplimiento de la meta del 93,69%, teniendo en cuenta que  se obtuvo un recaudo acumulado de $10.665 millones incluido IVA, ($10.259 millones entre transferencias y consignaciones bancarias y $406 millones que corresponden a retenciones y descuentos autorizados) frente a una facturación emitida y radicada de $11.383 millones incluido IVA, La rotación de cartera refleja que Canal Capital mantiene una cartera corriente, teniendo como referencia que se presentó un saldo de $718 millones, el 55,58%  corresponden a la facturación emitida entre 0 y 30 días y el 32,04% a la facturación expedida entre 31 y 60 días.
</t>
    </r>
    <r>
      <rPr>
        <b/>
        <sz val="7"/>
        <rFont val="Arial"/>
        <family val="2"/>
      </rPr>
      <t xml:space="preserve">Trimestre 3: </t>
    </r>
    <r>
      <rPr>
        <sz val="7"/>
        <rFont val="Arial"/>
        <family val="2"/>
      </rPr>
      <t xml:space="preserve">A 30 de septiembre de 2019, se obtuvo una gestión de cobro acumulada del 92,95%, que corresponden a $18,727 millones recibidos en las cuentas bancarias del canal y $456 millones de los descuentos efectuados por estampillas, volumen agencia y retenciones de Ley; lo anterior, frente a un total de servicios cobrados de $20,793 millones incluido IVA. La cartera constituida a la misma fecha ($1,610 millones) bajo estos conceptos, se clasificó así: $1,471 millones corresponden a los cobros efectuados entre 0 y 30 días; $13 millones, entre 31-60 días; $23 millones, entre 61-90 días y $103 millones corresponden a los cobros pendientes de recaudo con mas de 90 días.  Se concluye que la rotación de cartera al cierre del trimestre fue eficiente. 
</t>
    </r>
    <r>
      <rPr>
        <b/>
        <sz val="7"/>
        <rFont val="Arial"/>
        <family val="2"/>
      </rPr>
      <t xml:space="preserve">Trimestre 4: </t>
    </r>
    <r>
      <rPr>
        <sz val="7"/>
        <rFont val="Arial"/>
        <family val="2"/>
      </rPr>
      <t>A 31 de diciembre de 2019, se obtuvo un recaudo acumulado de $32,145 Millones (entre comercialización directa y cuentas por cobrar) incluido IVA e impuestos retenidos por el cliente, frente a unos cobros efectuados durante la vigencia fiscal 2019 de $33,673 Millones, quedando una cartera al cierre del periodo fiscal de $1,528 Millones; se concluye así un cumplimiento del 25,46% por encima de la meta propuesta al cierre del trimestre (70%). En el último trimestre se gestionaron cobros por valor de $12,881 Millones de conformidad con los servicios prestados y de acuerdo con las formas de pago estipuladas en cada negociación; en el mismo periodo se obtuvo un recaudo de $12,963 Millones, quedando una gestión de cobro pendiente de recaudo al cierre del trimestre de $1,528 Millones: (Cartera a 30 de septiembre $1,610 Millones + $12,881 Millones gestión de cobro último trimestre - $12,963 Millones, recaudo último trimestre = $1,528 Millones cartera a 31 de diciembre de 2019). Se resalta que en el mes de diciembre se gestionaron cobros por valor de $6,113 Millones, siendo esta cifra el 47,5% del valor total cobrado en el último trimestre ($12,881 Millones), de otra parte, el 79,98% del total de la cartera ($1,528 Millones) corresponde a cobros efectuados entre 0 y 30 días ($1,222 Millones). Se concluye que la cartera de Canal Capital es sana y fluctúa de manera corriente, contribuyendo con la liquidez oportuna para el cumplimiento de las metas* propuestas por la administración (*aquellos gastos y proyectos que son financiados con esta fuente de recursos).</t>
    </r>
  </si>
  <si>
    <r>
      <t xml:space="preserve">Trimestre 1: </t>
    </r>
    <r>
      <rPr>
        <sz val="7"/>
        <rFont val="Arial"/>
        <family val="2"/>
      </rPr>
      <t>Al cierre del primer trimestre de la presente vigencia, es adecuado resaltar que se presenta un nivel muy satisfactorio o de razonabilidad del margen de seguridad equivalente al 68,26%, en relación al cubrimiento de las obligaciones a corto plazo para el normal funcionamiento y operación de la entidad, los cuales se encuentran respaldados con los saldos detallados en los bancos, CDTs y cartera detallados en los Estados Financieros.</t>
    </r>
    <r>
      <rPr>
        <b/>
        <sz val="7"/>
        <rFont val="Arial"/>
        <family val="2"/>
      </rPr>
      <t xml:space="preserve">
Trimestre 2: </t>
    </r>
    <r>
      <rPr>
        <sz val="7"/>
        <rFont val="Arial"/>
        <family val="2"/>
      </rPr>
      <t>Según los saldos reflejados al cierre del mes de junio, el 52,92% representan los recursos necesarios para el funcionamiento y operación del Canal dando cumplimiento a las cuentas por pagar durante los plazos pactados, de acuerdo a las cuantías reflejadas en los bancos, CDTs y cartera.</t>
    </r>
    <r>
      <rPr>
        <b/>
        <sz val="7"/>
        <rFont val="Arial"/>
        <family val="2"/>
      </rPr>
      <t xml:space="preserve">
Trimestre 3: </t>
    </r>
    <r>
      <rPr>
        <sz val="7"/>
        <rFont val="Arial"/>
        <family val="2"/>
      </rPr>
      <t xml:space="preserve">El tercer trimestre de la presente vigencia presenta un margen del 43,14% el cual representa la capacidad de respaldo de las obligaciones del Canal con terceros, teniendo en cuenta que el 72,9% de total de los pasivos corrientes para el cierre del 30 de septiembre corresponde a los recursos administrados de la ANTV, siendo las cuentas por pagar a terceros el 27,1%. Para este último trimestre se refleja un comportamiento satisfactorio para el Canal dado que puede cubrir las obligaciones contraídas. </t>
    </r>
    <r>
      <rPr>
        <b/>
        <sz val="7"/>
        <rFont val="Arial"/>
        <family val="2"/>
      </rPr>
      <t xml:space="preserve">
Trimestre 4: </t>
    </r>
    <r>
      <rPr>
        <sz val="7"/>
        <rFont val="Arial"/>
        <family val="2"/>
      </rPr>
      <t xml:space="preserve">Al cierre de la vigencia 2019, el Canal presento un margen de 57,86% el cual representa para la entidad un indicador positivo dado que este representa la capacidad de respaldo para dar cumplimiento a las obligaciones con terceros a corto plazo. </t>
    </r>
  </si>
  <si>
    <r>
      <rPr>
        <b/>
        <sz val="7"/>
        <rFont val="Arial"/>
        <family val="2"/>
      </rPr>
      <t xml:space="preserve">Trimestre 1: </t>
    </r>
    <r>
      <rPr>
        <sz val="7"/>
        <rFont val="Arial"/>
        <family val="2"/>
      </rPr>
      <t xml:space="preserve">Al finalizar el mes de marzo y teniendo presente los meses anteriores a éste, se evidencia un nivel  muy satisfactorio en el respaldo de los compromisos y obligaciones adquiridas por parte de Canal Capital sin afectar las condiciones y plazos inicialmente pactados, en referencia a la liquidez detallada en los saldos reflejados en los bancos, CDTs y cartera detallados en los Estados Financieros.
</t>
    </r>
    <r>
      <rPr>
        <b/>
        <sz val="7"/>
        <rFont val="Arial"/>
        <family val="2"/>
      </rPr>
      <t xml:space="preserve">Trimestre 2: </t>
    </r>
    <r>
      <rPr>
        <sz val="7"/>
        <rFont val="Arial"/>
        <family val="2"/>
      </rPr>
      <t xml:space="preserve">Al finalizar el primer semestre se detalla un nivel satisfactorio de liquidez, el cual constata la buena capacidad que tiene el Canal para pagar las obligaciones y compromisos a corto plazo.
</t>
    </r>
    <r>
      <rPr>
        <b/>
        <sz val="7"/>
        <rFont val="Arial"/>
        <family val="2"/>
      </rPr>
      <t xml:space="preserve">Trimestre 3: </t>
    </r>
    <r>
      <rPr>
        <sz val="7"/>
        <rFont val="Arial"/>
        <family val="2"/>
      </rPr>
      <t xml:space="preserve">Al finalizar el tercer cuatrimestre se refleja un indicador de liquidez del 1,76%, lo cual indica que el Canal tiene la capacidad de cubrir sus obligaciones con terceros, aunque los cuatrimestres anteriores presenten un margen mayor, esto no afecta el comportamiento y el cumplimiento de pagos, teniendo en cuenta que el Canal administra fondos y anticipos de terceros. 
</t>
    </r>
    <r>
      <rPr>
        <b/>
        <sz val="7"/>
        <rFont val="Arial"/>
        <family val="2"/>
      </rPr>
      <t xml:space="preserve">Trimestre 4: </t>
    </r>
    <r>
      <rPr>
        <sz val="7"/>
        <rFont val="Arial"/>
        <family val="2"/>
      </rPr>
      <t>Al cierre de la vigencia 2019, refleja un indicador de 2,37% lo que evidencia un margen satisfactorio para el Canal, dado que se tiene el respaldo financiero y la liquidez para dar cumplimiento a los compromisos adquiridos con terceros.</t>
    </r>
  </si>
  <si>
    <r>
      <rPr>
        <b/>
        <sz val="7"/>
        <color theme="1"/>
        <rFont val="Arial"/>
        <family val="2"/>
      </rPr>
      <t xml:space="preserve">Trimestre 1: </t>
    </r>
    <r>
      <rPr>
        <sz val="7"/>
        <color theme="1"/>
        <rFont val="Arial"/>
        <family val="2"/>
      </rPr>
      <t xml:space="preserve">De acuerdo con los informes mensuales remitidos a la Veeduría Distrital se detalla a continuación la relación de PQRS recibidas y atendidas en la vigencia 2019:
* Para el mes de enero se recibieron un total de 26 peticiones de las cuales se atendieron 17 peticiones (14 de este periodo y 3 del periodo anterior).  * Para el mes de febrero se recibieron 49 peticiones de las cuales se atendieron 42 peticiones (29 peticiones del periodo actual y 13 del periodo anterior). * Para el mes de marzo se recibieron un total de 46 peticiones de las cuales se atendieron 57 peticiones (35 de este periodo y 22 del periodo anterior).  Lo anterior obedece a que los registros que se hacen en los últimos días de cada mes por tiempos de respuesta se cierran hasta el mes entrante. En el trimestre se recibieron 121 peticiones en total y se atendieron 116 lo que implica un porcentaje de 96% de peticiones atendidas con oportunidad.  Teniendo en cuenta el análisis realizado se viene trabajando con la Dirección Operativa (Sistema Informativo) y  con el área jurídica mensualmente sobre las respuestas a las peticiones de este área, logrando de esta manera una mejoría en cuanto al cumplimiento de los tiempos establecidos para dar respuesta a las peticiones.
</t>
    </r>
    <r>
      <rPr>
        <b/>
        <sz val="7"/>
        <color theme="1"/>
        <rFont val="Arial"/>
        <family val="2"/>
      </rPr>
      <t>Trimestre 2:</t>
    </r>
    <r>
      <rPr>
        <sz val="7"/>
        <color theme="1"/>
        <rFont val="Arial"/>
        <family val="2"/>
      </rPr>
      <t xml:space="preserve"> De acuerdo con los informes mensuales remitidos a la Veeduría Distrital se detalla a continuación la relación de PQRS recibidas y atendidas en la vigencia 2019:
* Para el mes de abril se recibieron un total de 39 peticiones de las cuales se atendieron 31 peticiones (19 de este periodo y 12 del periodo anterior).  * Para el mes de mayo se recibieron 27 peticiones de las cuales se atendieron 34 peticiones (15 peticiones del periodo actual y 19 del periodo anterior). * Para el mes de junio se recibieron un total de 38 peticiones de las cuales se atendieron 26 peticiones (11 de este periodo y 15 del periodo anterior).  Lo anterior obedece a que los registros que se hacen en los últimos días de cada mes por tiempos de respuesta se cierran hasta el mes entrante.  En el trimestre se recibieron 104 peticiones en total y se atendieron 91 lo que implica un porcentaje de 88% de peticiones atendidas con oportunidad. 
</t>
    </r>
    <r>
      <rPr>
        <b/>
        <sz val="7"/>
        <color theme="1"/>
        <rFont val="Arial"/>
        <family val="2"/>
      </rPr>
      <t xml:space="preserve">Trimestre 3: </t>
    </r>
    <r>
      <rPr>
        <sz val="7"/>
        <color theme="1"/>
        <rFont val="Arial"/>
        <family val="2"/>
      </rPr>
      <t xml:space="preserve">De acuerdo con los informes mensuales remitidos a la Veeduría Distrital se detalla a continuación la relación de PQRS recibidas y atendidas en la vigencia 2019:
* Para el mes de julio se recibieron un total de 37 peticiones de las cuales se atendieron 33 peticiones (16 de este periodo y 17 del periodo anterior).  * Para el mes de agosto se recibieron 63 peticiones de las cuales se atendieron 46 peticiones (32 peticiones del periodo actual y 14 del periodo anterior).
* Para el mes de septiembre se recibieron un total de 48 peticiones de las cuales se atendieron 54 peticiones (32 de este periodo y 22 del periodo anterior).  Lo anterior obedece a que los registros que se hacen en los últimos días de cada mes por tiempos de respuesta se cierran hasta el mes entrante.
En el trimestre se recibieron 148 peticiones en total y se atendieron 133 lo que implica un porcentaje de 90% de peticiones atendidas con oportunidad. Teniendo en cuenta el análisis realizado se viene trabajando con la Dirección Operativa (Sistema Informativo) y  con el área jurídica mensualmente sobre las respuestas a las peticiones de este área, logrando de esta manera una mejoría en cuanto al cumplimiento de los tiempos establecidos para dar respuesta a las peticiones. Se aclara que por directrices de la Secretaría General de la Alcaldía Mayor de Bogotá los reportes en el informe cambiaron puesto que solo se registran las peticiones que son ingresadas directamente por la funcionaria que maneja el sistema Bogotá Te Escucha.
</t>
    </r>
    <r>
      <rPr>
        <b/>
        <sz val="7"/>
        <color theme="1"/>
        <rFont val="Arial"/>
        <family val="2"/>
      </rPr>
      <t xml:space="preserve">Trimestre 4: </t>
    </r>
    <r>
      <rPr>
        <sz val="7"/>
        <color theme="1"/>
        <rFont val="Arial"/>
        <family val="2"/>
      </rPr>
      <t>De acuerdo con los informes mensuales remitidos a la Veeduría Distrital se detalla a continuación la relación de PQRS recibidas y atendidas en la vigencia 2019:
* Para el mes de octubre se recibieron un total de 49 peticiones de las cuales se atendieron 55 peticiones (34 de este periodo y 21 del periodo anterior). * Para el mes de noviembre se recibieron 34 peticiones de las cuales se atendieron 34 peticiones (21 peticiones del periodo actual y 13 del periodo anterior). * Para el mes de diciembre se recibieron un total de 16 peticiones de las cuales se atendieron 27 peticiones (14 de este periodo y 13 del periodo anterior).  Lo anterior obedece a que los registros que se hacen en los últimos días de cada mes por tiempos de respuesta se cierran hasta el mes entrante. En el trimestre se recibieron 99 peticiones en total y se atendieron 116 lo que implica un porcentaje de 117% de peticiones atendidas con oportunidad.
Teniendo en cuenta el análisis realizado se viene trabajando con la Dirección Operativa (Sistema Informativo) y  con el área jurídica mensualmente sobre las respuestas a las peticiones de este área, logrando de esta manera una mejoría en cuanto al cumplimiento de los tiempos establecidos para dar respuesta a las peticiones. Se aclara que por directrices de la Secretaría General de la Alcaldía Mayor de Bogotá los reportes en el informe cambiaron puesto que solo se registran las peticiones que son ingresadas directamente por la funcionaria que maneja el sistema Bogotá Te Escucha.</t>
    </r>
  </si>
  <si>
    <r>
      <rPr>
        <b/>
        <sz val="7"/>
        <color theme="1"/>
        <rFont val="Arial"/>
        <family val="2"/>
      </rPr>
      <t xml:space="preserve">Cuatrimestre 1: </t>
    </r>
    <r>
      <rPr>
        <sz val="7"/>
        <color theme="1"/>
        <rFont val="Arial"/>
        <family val="2"/>
      </rPr>
      <t xml:space="preserve">El seguimiento de este indicador quedo con periodo de reporte cuatrimestral, por lo que cubre el primer trimestre y el mes siguiente. El resultado obedece a dos factores: Falta de cumplimiento de las áreas frente a los planes de mejoramiento y falta de envío de los soportes suficientes y conducentes para la verificación del cumplimiento. Como acción para la mejora, se propone adelantar mesas de trabajo, con finalidad preventiva, con las áreas de mayor porcentaje de incumplimiento conforme al ultimo informe de seguimiento al plan de mejoramiento.
</t>
    </r>
    <r>
      <rPr>
        <b/>
        <sz val="7"/>
        <color theme="1"/>
        <rFont val="Arial"/>
        <family val="2"/>
      </rPr>
      <t xml:space="preserve">Cuatrimestre 2: </t>
    </r>
    <r>
      <rPr>
        <sz val="7"/>
        <color theme="1"/>
        <rFont val="Arial"/>
        <family val="2"/>
      </rPr>
      <t xml:space="preserve">El reporte se da para los meses mayo, junio, julio y agosto por razón del periodo establecido. El resultado obtenido es producto de: 1) Las áreas de Canal Capital no remiten el reporte de los avances de cumplimiento de las acciones formuladas ni los soportes correspondientes. 2) Hay remisión de soportes incompletos o que no corresponden a la acción formulada y 3) no se ha finalizado el cumplimiento de las acciones. Se realizaron mesas de trabajo con la coordinación jurídica (28/08), nuevos negocios (10/09) y sistema informativo (30/09), sin embargo no se obtuvieron los resultados esperados.  En el próximo seguimiento se coordinaran mesas de trabajo para efectuar la verificación in situ para: Coordinación Jurídica, Nuevos Negocios, Sistema Informativo y Gestión Documental. Toda vez que son las áreas que muestran mayor dificultad para el reporte del plan de mejoramiento.
</t>
    </r>
    <r>
      <rPr>
        <b/>
        <sz val="7"/>
        <color theme="1"/>
        <rFont val="Arial"/>
        <family val="2"/>
      </rPr>
      <t>Cuatrimestre 3:</t>
    </r>
    <r>
      <rPr>
        <sz val="7"/>
        <color theme="1"/>
        <rFont val="Arial"/>
        <family val="2"/>
      </rPr>
      <t xml:space="preserve"> El reporte corresponde al ultimo cuatrimestre de 2019. Si bien las acciones propuestas en el anterior seguimiento fueron beneficiosas, el resultado que se reporta es producto de: 1) las áreas no realizan informes completos (avances y soportes), 2) existe debilidad en la forma de documentar las actividades realizadas durante la ejecución y 3) no se tiene presente la fecha de terminación formulada para las acciones. Como acción para la mejora, se propone dar continuidad a la mesas de trabajo con las áreas criticas. Previo al próximo seguimiento, se va a citar a taller con las dependencias misionales y de apoyo con el fin de fortalecer la cultura de autocontrol y mejorar el reporte de planes de mejoramiento. </t>
    </r>
  </si>
  <si>
    <r>
      <rPr>
        <b/>
        <sz val="7"/>
        <color theme="1"/>
        <rFont val="Arial"/>
        <family val="2"/>
      </rPr>
      <t>Trimestre 1:</t>
    </r>
    <r>
      <rPr>
        <sz val="7"/>
        <color theme="1"/>
        <rFont val="Arial"/>
        <family val="2"/>
      </rPr>
      <t xml:space="preserve"> Para el primer trimestre de la vigencia 2019 se tuvo un cumplimiento del 100% de las acciones contempladas en el Plan Anual de auditorias.
</t>
    </r>
    <r>
      <rPr>
        <b/>
        <sz val="7"/>
        <color theme="1"/>
        <rFont val="Arial"/>
        <family val="2"/>
      </rPr>
      <t>Trimestre 2:</t>
    </r>
    <r>
      <rPr>
        <sz val="7"/>
        <color theme="1"/>
        <rFont val="Arial"/>
        <family val="2"/>
      </rPr>
      <t xml:space="preserve"> Para el segundo trimestre de la vigencia se presento un cumplimiento del 80% de las acciones contempladas en el Plan Anual de Auditorias. El porcentaje señala el no cumplimiento de la fecha propuesta de las actividades. Sin embargo, hay actividades que para este reporte ya se encuentran realizadas.  Como acción para la mejora, se propone la revisión de las actividades programadas y adelantar seguimiento semanal en reuniones de grupo de avances, donde se presentara el estado de las acciones y se presentaran posibles soluciones.
</t>
    </r>
    <r>
      <rPr>
        <b/>
        <sz val="7"/>
        <color theme="1"/>
        <rFont val="Arial"/>
        <family val="2"/>
      </rPr>
      <t xml:space="preserve">Trimestre 3: </t>
    </r>
    <r>
      <rPr>
        <sz val="7"/>
        <color theme="1"/>
        <rFont val="Arial"/>
        <family val="2"/>
      </rPr>
      <t xml:space="preserve">El cumplimiento reportado obedece a dos situaciones particulares: 1) Se adelanto verificación especial, a petición de Gerencia General, sobre la gestión contractual de la entidad durante la vigencia 2018 como alistamiento a la visita de regularidad de la Contraloría distrital. Esta actividad exigió el esfuerzo de toda la Oficina de Control Interno 2) En menor medida, pero con incidencia directa, el acompañamiento y consolidación de las respuestas a los requerimientos de la Contraloría Distrital también ha implicado una variable importante a inicialmente registrado en el Plan Anual de Auditoria 
La acción formulada en el anterior seguimiento funciono y permitió mantener un seguimiento razonable para tomar las medidas pertinentes. Una primera medida correctiva dirigida a superar las dificultades presentadas fue la modificación del Plan Anual de Auditoria, el cual fue presentado y aprobado por el Comité Institucional de Control Interno. Como segunda medida seguirán las reuniones semanales de equipo donde se presentan avances y dificultades. Como medida preventiva, de surgir nuevas actividades no programadas se actualizará el Plan Anual de Auditorias de acuerdo a la necesidad de servicio.
</t>
    </r>
    <r>
      <rPr>
        <b/>
        <sz val="7"/>
        <color theme="1"/>
        <rFont val="Arial"/>
        <family val="2"/>
      </rPr>
      <t xml:space="preserve">Trimestre 4: </t>
    </r>
    <r>
      <rPr>
        <sz val="7"/>
        <color theme="1"/>
        <rFont val="Arial"/>
        <family val="2"/>
      </rPr>
      <t xml:space="preserve">Se cumplieron con todas las actividades planeadas para la vigencia 2019. Como acción para la mejora, se identifica la necesidad de fortalecer la planeación del área para mejorar el cumplimiento de las fechas programadas del siguiente Plan Anual de Auditoria. Se tendrá en cuenta una mayor disponibilidad de tiempo para el acompañamiento a la visita programada de la Contraloría de Bogotá y las demás actividades que no estén contempladas por razón del servicio. Reformular el Formato Plan Anual de Auditoria que mejore la asignación de tiempos. Así mismo se tendrá en cuenta lo ordenado por el Decreto Distrital 807 de 2019 para las nuevas actividades asignadas a la Oficina de Control Interno. </t>
    </r>
  </si>
  <si>
    <r>
      <rPr>
        <b/>
        <sz val="7"/>
        <color theme="1"/>
        <rFont val="Arial"/>
        <family val="2"/>
      </rPr>
      <t xml:space="preserve">Cuatrimestre 1: </t>
    </r>
    <r>
      <rPr>
        <sz val="7"/>
        <color theme="1"/>
        <rFont val="Arial"/>
        <family val="2"/>
      </rPr>
      <t xml:space="preserve">El seguimiento de este indicador quedo con periodo de reporte cuatrimestral, por lo que cubre el primer trimestre y el mes siguiente. El resultado obedece a los siguientes factores: Falta de cumplimiento de las áreas con lo registrado en el PAAC, no se aporta los soportes correspondientes a las acciones programadas y falta de autoevaluación de las áreas frente al PAAC. Elaboración de alcance a la Circular 020 del 06 de noviembre de 2018, dirigida a todos los colaboradores de Canal Capital, donde se referencie las características, condiciones y criterios mínimos para el reporte del cumplimiento de las acciones programadas en los planes sujetos a seguimiento por la Oficina de Control Interno.
</t>
    </r>
    <r>
      <rPr>
        <b/>
        <sz val="7"/>
        <color theme="1"/>
        <rFont val="Arial"/>
        <family val="2"/>
      </rPr>
      <t xml:space="preserve">
Cuatrimestre 2: </t>
    </r>
    <r>
      <rPr>
        <sz val="7"/>
        <color theme="1"/>
        <rFont val="Arial"/>
        <family val="2"/>
      </rPr>
      <t xml:space="preserve">Para el reporte del periodo es necesario precisar en primer lugar, que el PAAC fue ajustado en el mes de julio por parte de Planeación. El reporte corresponde al seguimiento adelantado por la Oficina de Control Interno con corte a 30 de septiembre. Quedaron pendientes por iniciar las acciones correspondientes a las áreas de: Planeación, Atención al Ciudadano, Coordinación Técnica, Coordinación Producción, Servicios Administrativos, Comunicaciones y Talento Humano. Con relación a la acción correctiva formulada en el anterior seguimiento, se informa que tuvo efectos positivos en la actividad porque se evidencio mayor cumplimiento de las áreas al remitir el informe y soportes. Como acción para la mejora, se considera elaborar y comunicar a las áreas: Servicios Administrativos, Coordinación Técnica y Coordinación Producción, recordatorio de las acciones suscritas en el PAAC con el fin de asegurar un cumplimiento adecuado en el próximo seguimiento. 
</t>
    </r>
    <r>
      <rPr>
        <b/>
        <sz val="7"/>
        <color theme="1"/>
        <rFont val="Arial"/>
        <family val="2"/>
      </rPr>
      <t xml:space="preserve">
Cuatrimestre 3: </t>
    </r>
    <r>
      <rPr>
        <sz val="7"/>
        <color theme="1"/>
        <rFont val="Arial"/>
        <family val="2"/>
      </rPr>
      <t>El seguimiento que se reporta corresponde al periodo septiembre - diciembre de 2019. Para las 39 acciones que se encontraban pendientes de seguimiento para la fecha de corte se pudo evidenciar el incumplimiento de solo 09 acciones. Esta situación se debió a la falta de soportes por los cuales se pueda dar cuenta de un cumplimiento real, cierto y efectivo de las acciones formuladas.  De igual manera se pudo evidenciar falta de coherencia entre acciones formuladas y la meta correspondiente , por ejemplo las acciones a cargo de la Coordinación de Producción. Como acción para la mejora, se considerará por parte del área adelantar mesa de trabajo con Planeación y el acompañamiento durante la formulación del PAAC de la vigencia 2020.</t>
    </r>
  </si>
  <si>
    <r>
      <rPr>
        <b/>
        <sz val="7"/>
        <color theme="1"/>
        <rFont val="Arial"/>
        <family val="2"/>
      </rPr>
      <t xml:space="preserve">Trimestre 1: </t>
    </r>
    <r>
      <rPr>
        <sz val="7"/>
        <color theme="1"/>
        <rFont val="Arial"/>
        <family val="2"/>
      </rPr>
      <t xml:space="preserve">CANAL CAPITAL publicó en la plataforma de SECOP I cuatrocientos diez (410) contratos de los cuatrocientos doce (412) suscritos durante el primer trimestre de 2019.
</t>
    </r>
    <r>
      <rPr>
        <b/>
        <sz val="7"/>
        <color theme="1"/>
        <rFont val="Arial"/>
        <family val="2"/>
      </rPr>
      <t>Trimestre 2:</t>
    </r>
    <r>
      <rPr>
        <sz val="7"/>
        <color theme="1"/>
        <rFont val="Arial"/>
        <family val="2"/>
      </rPr>
      <t xml:space="preserve"> CANAL CAPITAL publicó en la plataforma de SECOP I  (149) contratos de los ciento cincuenta y tres (153) suscritos durante el segundo trimestre de 2019.
</t>
    </r>
    <r>
      <rPr>
        <b/>
        <sz val="7"/>
        <color theme="1"/>
        <rFont val="Arial"/>
        <family val="2"/>
      </rPr>
      <t xml:space="preserve">Trimestre 3: </t>
    </r>
    <r>
      <rPr>
        <sz val="7"/>
        <color theme="1"/>
        <rFont val="Arial"/>
        <family val="2"/>
      </rPr>
      <t xml:space="preserve">CANAL CAPITAL publicó en la plataforma de SECOP I ciento setenta y ocho (178) contratos de los ciento noventa y cuatro (194) que se suscribieron durante el tercer trimestre de 2019, incluyendo cuatro (4) contratos correspondientes a convocatorias públicas. De los ciento noventa y cuatro (194), dos (2) contratos fueron anulados y dieciséis (16) quedaron pendientes de registro para el mes de octubre.
</t>
    </r>
    <r>
      <rPr>
        <b/>
        <sz val="7"/>
        <color theme="1"/>
        <rFont val="Arial"/>
        <family val="2"/>
      </rPr>
      <t xml:space="preserve">
Trimestre 4: </t>
    </r>
    <r>
      <rPr>
        <sz val="7"/>
        <color theme="1"/>
        <rFont val="Arial"/>
        <family val="2"/>
      </rPr>
      <t>CANAL CAPITAL publicó en la plataforma de SECOP I ciento cincuenta y ocho (158) contratos de los ciento setenta y siete  (177) contratos que se suscribieron durante el cuarto trimestre de 2019, los diecinueve (19) restantes quedaron publicados en esa plataforma en el mes de Enero de 2020.</t>
    </r>
  </si>
  <si>
    <r>
      <rPr>
        <b/>
        <sz val="7"/>
        <color theme="1"/>
        <rFont val="Arial"/>
        <family val="2"/>
      </rPr>
      <t xml:space="preserve">Trimestre 1: </t>
    </r>
    <r>
      <rPr>
        <sz val="7"/>
        <color theme="1"/>
        <rFont val="Arial"/>
        <family val="2"/>
      </rPr>
      <t xml:space="preserve">Los días 27 y 28 de marzo de 2019  se efectuó capacitaciones a todo el personal de CANAL CAPITAL sobre el nuevo manual de Contratación, Supervisión e Interventoría
</t>
    </r>
    <r>
      <rPr>
        <b/>
        <sz val="7"/>
        <color theme="1"/>
        <rFont val="Arial"/>
        <family val="2"/>
      </rPr>
      <t>Trimestre 2:</t>
    </r>
    <r>
      <rPr>
        <sz val="7"/>
        <color theme="1"/>
        <rFont val="Arial"/>
        <family val="2"/>
      </rPr>
      <t xml:space="preserve"> Durante los días 30 y 31 de mayo de 2019, se programaron y se adelantaron cinco (5) jornadas de capacitación relacionadas con la implementación del nuevo manual de contratación, supervisión e interventoría versión 6, cuya vigencia iniciaba el 1 de junio de 2019; así mismo, sobre la utilización de los nuevos formatos de condiciones mínimas de contratación y estudios previos.   
</t>
    </r>
    <r>
      <rPr>
        <b/>
        <sz val="7"/>
        <color theme="1"/>
        <rFont val="Arial"/>
        <family val="2"/>
      </rPr>
      <t xml:space="preserve">Trimestre 3: </t>
    </r>
    <r>
      <rPr>
        <sz val="7"/>
        <color theme="1"/>
        <rFont val="Arial"/>
        <family val="2"/>
      </rPr>
      <t xml:space="preserve">Los días 2 de septiembre y 5 de septiembre de 2019, respectivamente se adelantó capacitación sobre supervisión e interventoría de contratos y conversatorio sobre factores de selección. 
</t>
    </r>
    <r>
      <rPr>
        <b/>
        <sz val="7"/>
        <color theme="1"/>
        <rFont val="Arial"/>
        <family val="2"/>
      </rPr>
      <t>Trimestre 4:</t>
    </r>
    <r>
      <rPr>
        <sz val="7"/>
        <color theme="1"/>
        <rFont val="Arial"/>
        <family val="2"/>
      </rPr>
      <t xml:space="preserve"> Durante el último trimestre del año 2019 no se adelantó capacitación alguna. </t>
    </r>
  </si>
  <si>
    <r>
      <rPr>
        <b/>
        <sz val="7"/>
        <color theme="1"/>
        <rFont val="Arial"/>
        <family val="2"/>
      </rPr>
      <t xml:space="preserve">Trimestre 1: </t>
    </r>
    <r>
      <rPr>
        <sz val="7"/>
        <color theme="1"/>
        <rFont val="Arial"/>
        <family val="2"/>
      </rPr>
      <t xml:space="preserve">Durante el Primer Trimestre de 2019 se convocó y se publicó la Convocatoria No. 001-2019 cuyo objeto correspondió a: "Contratar la prestación del servicio público de transporte terrestre automotor especial, de equipos y personal en el perímetro de Bogotá D.C. y otros destinos nacionales.", cuyo proyecto de pliegos de condiciones fue publicado el 4 de febrero de 2019 y adjudicado el 28 de febrero de 2019.
</t>
    </r>
    <r>
      <rPr>
        <b/>
        <sz val="7"/>
        <color theme="1"/>
        <rFont val="Arial"/>
        <family val="2"/>
      </rPr>
      <t>Trimestre 2:</t>
    </r>
    <r>
      <rPr>
        <sz val="7"/>
        <color theme="1"/>
        <rFont val="Arial"/>
        <family val="2"/>
      </rPr>
      <t xml:space="preserve"> Durante el segundo trimestre de 2019 se convocó y se publicaron las Convocatorias No. 002-2019, 003-2019, 004-2019 y 005-2019, procesos de selección que fueron aperturados en los meses de abril y mayo, respectivamente,  siendo estos adjudicados en el mismo trimestre.
</t>
    </r>
    <r>
      <rPr>
        <b/>
        <sz val="7"/>
        <color theme="1"/>
        <rFont val="Arial"/>
        <family val="2"/>
      </rPr>
      <t xml:space="preserve">Trimestre 3: </t>
    </r>
    <r>
      <rPr>
        <sz val="7"/>
        <color theme="1"/>
        <rFont val="Arial"/>
        <family val="2"/>
      </rPr>
      <t xml:space="preserve">Durante el tercer trimestre de 2019 se convocó y publicaron las Convocatorias Públicas Nos. 6, 7 y 8 de 2019, procesos de selección que fueron aperturados en el mes de agosto, siendo adjudicados  en el mismo trimestre durante el mes de septiembre de 2019.
</t>
    </r>
    <r>
      <rPr>
        <b/>
        <sz val="7"/>
        <color theme="1"/>
        <rFont val="Arial"/>
        <family val="2"/>
      </rPr>
      <t xml:space="preserve">Trimestre 4: </t>
    </r>
    <r>
      <rPr>
        <sz val="7"/>
        <color theme="1"/>
        <rFont val="Arial"/>
        <family val="2"/>
      </rPr>
      <t>No se adelantó ningún proceso de convocatoria pública durante el último trimestre de 2019.</t>
    </r>
  </si>
  <si>
    <r>
      <rPr>
        <b/>
        <sz val="7"/>
        <color theme="1"/>
        <rFont val="Arial"/>
        <family val="2"/>
      </rPr>
      <t>Trimestre 1:</t>
    </r>
    <r>
      <rPr>
        <sz val="7"/>
        <color theme="1"/>
        <rFont val="Arial"/>
        <family val="2"/>
      </rPr>
      <t xml:space="preserve"> Durante el primer trimestre de 2019, CANAL CAPITAL fue notificado de tres (3) demandas ordinarias laborales iniciadas por los ex contratistas Hugo H. Ruiz Cabrera, Yair Cardona y Luis Gustavo Fonseca cuya pretensión es el reconocimiento de una relación laboral (contrato realidad)
</t>
    </r>
    <r>
      <rPr>
        <b/>
        <sz val="7"/>
        <color theme="1"/>
        <rFont val="Arial"/>
        <family val="2"/>
      </rPr>
      <t>Trimestre 2:</t>
    </r>
    <r>
      <rPr>
        <sz val="7"/>
        <color theme="1"/>
        <rFont val="Arial"/>
        <family val="2"/>
      </rPr>
      <t xml:space="preserve"> Durante el segundo trimestre de 2019, CANAL CAPITAL fue notificado de cuatro (4) demandas ordinarias laborales iniciadas por los ex contratistas José Agustín Suárez Palacio, Mauricio Pichot, Elsy Leonor Núñez e Iván Cruz Acevedo cuya pretensión es el reconocimiento de una relación laboral (contrato realidad). Igualmente, el Canal se notificó dentro del proceso de nulidad y restablecimiento del derecho instaurado por Alejandra Orozco y dos (2) acciones de controversias contractuales iniciadas por  Cabeza Rodante Producciones S.A. e Integratur.
</t>
    </r>
    <r>
      <rPr>
        <b/>
        <sz val="7"/>
        <color theme="1"/>
        <rFont val="Arial"/>
        <family val="2"/>
      </rPr>
      <t xml:space="preserve">Trimestre 3: </t>
    </r>
    <r>
      <rPr>
        <sz val="7"/>
        <color theme="1"/>
        <rFont val="Arial"/>
        <family val="2"/>
      </rPr>
      <t xml:space="preserve">Durante el tercer trimestre de 2019, CANAL CAPITAL fue notificado de dos (2) demandas laborales ordinarias presentadas por los señores Rafael López y Hermes de Jesús Jaramillo Pedraza. Igualmente, el canal fue notificado de la demanda ejecutiva laboral de Hugo Fernando Martínez R.
</t>
    </r>
    <r>
      <rPr>
        <b/>
        <sz val="7"/>
        <color theme="1"/>
        <rFont val="Arial"/>
        <family val="2"/>
      </rPr>
      <t xml:space="preserve">Trimestre 4: </t>
    </r>
    <r>
      <rPr>
        <sz val="7"/>
        <color theme="1"/>
        <rFont val="Arial"/>
        <family val="2"/>
      </rPr>
      <t>Durante el último trimestre de 2019, CANAL CAPITAL fue notificado el 13 de diciembre de 2019, de la demanda interpuesta por el señor Felipe Hernando Sinisterra González ante el Juzgado 15 Laboral del Circuito pero debido a la vacancia judicial inció desde el 20 de diciembre de 2019 hasta el 10 de enero de 2020, la Apoderada contestó la demanda el 13 de enero de 2020  dentro de los términos legales para ello.</t>
    </r>
  </si>
  <si>
    <t>Cargar al ciento por ciento los contratos celebrados por la entidad, en el Sistema Electrónico de Contratación Pública -SECOP dentro de los términos previstos por la Ley.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</si>
</sst>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4" formatCode="_(&quot;$&quot;\ * #,##0_);_(&quot;$&quot;\ * \(#,##0\);_(&quot;$&quot;\ * &quot;-&quot;??_);_(@_)"/>
    <numFmt numFmtId="165" formatCode="0.0%"/>
    <numFmt numFmtId="166" formatCode="_-* #,##0.00\ _$_-;\-* #,##0.00\ _$_-;_-* &quot;-&quot;??\ _$_-;_-@_-"/>
    <numFmt numFmtId="167" formatCode="_ &quot;$ &quot;* #,##0.00_ ;_ &quot;$ &quot;* \-#,##0.00_ ;_ &quot;$ &quot;* \-??_ ;_ @_ "/>
    <numFmt numFmtId="168" formatCode="[$$-240A]\ #,##0.00_);\([$$-240A]\ #,##0.00\)"/>
    <numFmt numFmtId="169" formatCode="[$$-240A]\ #,##0_);\([$$-240A]\ #,##0\)"/>
    <numFmt numFmtId="170" formatCode="_([$$-240A]\ * #,##0.0000_);_([$$-240A]\ * \(#,##0.0000\);_([$$-240A]\ * &quot;-&quot;??_);_(@_)"/>
  </numFmts>
  <fonts count="16" x14ac:knownFonts="1">
    <font>
      <sz val="11"/>
      <color theme="1"/>
      <name val="Calibri"/>
      <family val="2"/>
      <scheme val="minor"/>
    </font>
    <font>
      <sz val="11"/>
      <color theme="1"/>
      <name val="Calibri"/>
      <family val="2"/>
      <scheme val="minor"/>
    </font>
    <font>
      <b/>
      <sz val="8"/>
      <color theme="1"/>
      <name val="Arial"/>
      <family val="2"/>
    </font>
    <font>
      <b/>
      <sz val="8"/>
      <name val="Arial"/>
      <family val="2"/>
    </font>
    <font>
      <sz val="8"/>
      <name val="Arial"/>
      <family val="2"/>
    </font>
    <font>
      <sz val="8"/>
      <color theme="1"/>
      <name val="Arial"/>
      <family val="2"/>
    </font>
    <font>
      <sz val="10"/>
      <name val="Arial"/>
      <family val="2"/>
    </font>
    <font>
      <sz val="11"/>
      <color indexed="8"/>
      <name val="Calibri"/>
      <family val="2"/>
    </font>
    <font>
      <sz val="10"/>
      <color rgb="FF000000"/>
      <name val="Arial"/>
      <family val="2"/>
    </font>
    <font>
      <sz val="9"/>
      <color indexed="81"/>
      <name val="Tahoma"/>
      <family val="2"/>
    </font>
    <font>
      <b/>
      <sz val="11"/>
      <color theme="1"/>
      <name val="Calibri"/>
      <family val="2"/>
      <scheme val="minor"/>
    </font>
    <font>
      <sz val="11"/>
      <color theme="0"/>
      <name val="Calibri"/>
      <family val="2"/>
      <scheme val="minor"/>
    </font>
    <font>
      <sz val="7"/>
      <color theme="1"/>
      <name val="Arial"/>
      <family val="2"/>
    </font>
    <font>
      <b/>
      <sz val="7"/>
      <color theme="1"/>
      <name val="Arial"/>
      <family val="2"/>
    </font>
    <font>
      <sz val="7"/>
      <name val="Arial"/>
      <family val="2"/>
    </font>
    <font>
      <b/>
      <sz val="7"/>
      <name val="Arial"/>
      <family val="2"/>
    </font>
  </fonts>
  <fills count="9">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9">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9" fontId="7" fillId="0" borderId="0" applyFont="0" applyFill="0" applyBorder="0" applyAlignment="0" applyProtection="0"/>
    <xf numFmtId="166" fontId="6" fillId="0" borderId="0" applyFont="0" applyFill="0" applyBorder="0" applyAlignment="0" applyProtection="0"/>
    <xf numFmtId="167" fontId="6" fillId="0" borderId="0" applyFill="0" applyBorder="0" applyAlignment="0" applyProtection="0"/>
    <xf numFmtId="0" fontId="8" fillId="0" borderId="0" applyNumberFormat="0" applyBorder="0" applyProtection="0"/>
    <xf numFmtId="168" fontId="6" fillId="0" borderId="0"/>
    <xf numFmtId="169" fontId="6" fillId="0" borderId="0"/>
    <xf numFmtId="169" fontId="6" fillId="0" borderId="0"/>
    <xf numFmtId="0" fontId="6" fillId="0" borderId="0"/>
    <xf numFmtId="170" fontId="1" fillId="0" borderId="0"/>
    <xf numFmtId="169" fontId="1" fillId="0" borderId="0"/>
    <xf numFmtId="0" fontId="7" fillId="0" borderId="0"/>
    <xf numFmtId="0" fontId="6" fillId="0" borderId="0"/>
    <xf numFmtId="9" fontId="6"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8" fillId="0" borderId="0"/>
    <xf numFmtId="9" fontId="8" fillId="0" borderId="0" applyFont="0" applyFill="0" applyBorder="0" applyAlignment="0" applyProtection="0"/>
    <xf numFmtId="41" fontId="6" fillId="0" borderId="0" applyFont="0" applyFill="0" applyBorder="0" applyAlignment="0" applyProtection="0"/>
    <xf numFmtId="0" fontId="1" fillId="0" borderId="0"/>
    <xf numFmtId="9" fontId="7" fillId="0" borderId="0" applyFont="0" applyFill="0" applyBorder="0" applyAlignment="0" applyProtection="0"/>
  </cellStyleXfs>
  <cellXfs count="180">
    <xf numFmtId="0" fontId="0" fillId="0" borderId="0" xfId="0"/>
    <xf numFmtId="0" fontId="4"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Fill="1"/>
    <xf numFmtId="0" fontId="0" fillId="0" borderId="0" xfId="0" applyAlignment="1">
      <alignment horizontal="left" vertical="center"/>
    </xf>
    <xf numFmtId="10" fontId="5" fillId="0" borderId="7" xfId="2" applyNumberFormat="1" applyFont="1" applyBorder="1" applyAlignment="1">
      <alignment vertical="center"/>
    </xf>
    <xf numFmtId="0" fontId="2" fillId="2" borderId="0" xfId="0" applyFont="1" applyFill="1" applyBorder="1" applyAlignment="1">
      <alignment vertical="center" wrapText="1"/>
    </xf>
    <xf numFmtId="10" fontId="5" fillId="0" borderId="7" xfId="2" applyNumberFormat="1" applyFont="1" applyFill="1" applyBorder="1" applyAlignment="1">
      <alignment vertical="center" wrapText="1"/>
    </xf>
    <xf numFmtId="0" fontId="5" fillId="0" borderId="8"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0" borderId="10" xfId="0" applyFont="1" applyBorder="1" applyAlignment="1">
      <alignment horizontal="center" vertical="center" wrapText="1"/>
    </xf>
    <xf numFmtId="0" fontId="4" fillId="0" borderId="10" xfId="0" applyFont="1" applyFill="1" applyBorder="1" applyAlignment="1">
      <alignment horizontal="center" vertical="center" wrapText="1"/>
    </xf>
    <xf numFmtId="0" fontId="5" fillId="0" borderId="14" xfId="0" applyFont="1" applyBorder="1" applyAlignment="1">
      <alignment horizontal="center" vertical="center" wrapText="1"/>
    </xf>
    <xf numFmtId="165" fontId="5" fillId="0" borderId="15" xfId="17" applyNumberFormat="1" applyFont="1" applyBorder="1" applyAlignment="1">
      <alignment horizontal="center" vertical="center" wrapText="1"/>
    </xf>
    <xf numFmtId="0" fontId="5" fillId="0" borderId="15" xfId="17" applyNumberFormat="1" applyFont="1" applyBorder="1" applyAlignment="1">
      <alignment horizontal="center" vertical="center" wrapText="1"/>
    </xf>
    <xf numFmtId="0" fontId="5" fillId="0" borderId="13" xfId="0" applyFont="1" applyFill="1" applyBorder="1" applyAlignment="1">
      <alignment horizontal="center" vertical="center" wrapText="1"/>
    </xf>
    <xf numFmtId="10" fontId="5" fillId="0" borderId="22" xfId="0" applyNumberFormat="1" applyFont="1" applyBorder="1" applyAlignment="1">
      <alignment horizontal="center" vertical="center" wrapText="1"/>
    </xf>
    <xf numFmtId="10" fontId="5" fillId="0" borderId="23" xfId="0" applyNumberFormat="1" applyFont="1" applyBorder="1" applyAlignment="1">
      <alignment horizontal="center" vertical="center" wrapText="1"/>
    </xf>
    <xf numFmtId="10" fontId="5" fillId="0" borderId="23"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3" xfId="0" applyFont="1" applyBorder="1" applyAlignment="1">
      <alignment horizontal="center" vertical="center" wrapText="1"/>
    </xf>
    <xf numFmtId="10" fontId="5" fillId="0" borderId="18" xfId="2" applyNumberFormat="1" applyFont="1" applyFill="1" applyBorder="1" applyAlignment="1">
      <alignment vertical="center" wrapText="1"/>
    </xf>
    <xf numFmtId="0" fontId="10" fillId="0" borderId="25" xfId="0" quotePrefix="1" applyFont="1" applyBorder="1" applyAlignment="1">
      <alignment horizontal="center" vertical="center" wrapText="1"/>
    </xf>
    <xf numFmtId="0" fontId="10" fillId="6" borderId="26" xfId="0" quotePrefix="1"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8" borderId="26" xfId="0" applyFont="1" applyFill="1" applyBorder="1" applyAlignment="1">
      <alignment horizontal="center" vertical="center" wrapText="1"/>
    </xf>
    <xf numFmtId="0" fontId="10" fillId="7" borderId="27" xfId="0" quotePrefix="1" applyFont="1" applyFill="1" applyBorder="1" applyAlignment="1">
      <alignment horizontal="center" vertical="center" wrapText="1"/>
    </xf>
    <xf numFmtId="0" fontId="10" fillId="0" borderId="1" xfId="0" applyFont="1" applyBorder="1" applyAlignment="1">
      <alignment horizontal="center" vertical="center"/>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wrapText="1"/>
    </xf>
    <xf numFmtId="0" fontId="10" fillId="0" borderId="24" xfId="0" applyFont="1" applyBorder="1" applyAlignment="1">
      <alignment vertical="center"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10" fillId="0" borderId="30" xfId="0" quotePrefix="1" applyFont="1" applyBorder="1" applyAlignment="1">
      <alignment horizontal="center" vertical="center" wrapText="1"/>
    </xf>
    <xf numFmtId="0" fontId="0" fillId="0" borderId="16" xfId="0" applyBorder="1" applyAlignment="1">
      <alignment horizontal="center" vertical="center"/>
    </xf>
    <xf numFmtId="10" fontId="0" fillId="0" borderId="17" xfId="2" applyNumberFormat="1" applyFont="1" applyBorder="1" applyAlignment="1">
      <alignment horizontal="center" vertical="center"/>
    </xf>
    <xf numFmtId="0" fontId="0" fillId="0" borderId="17" xfId="0" applyBorder="1" applyAlignment="1">
      <alignment horizontal="center" vertical="center"/>
    </xf>
    <xf numFmtId="0" fontId="10" fillId="0" borderId="31" xfId="0" applyFont="1" applyBorder="1" applyAlignment="1">
      <alignment vertical="center" wrapText="1"/>
    </xf>
    <xf numFmtId="0" fontId="0" fillId="0" borderId="18" xfId="0" applyFont="1" applyBorder="1" applyAlignment="1">
      <alignment horizontal="center" vertical="center"/>
    </xf>
    <xf numFmtId="0" fontId="0" fillId="0" borderId="7" xfId="0" applyFont="1" applyBorder="1" applyAlignment="1">
      <alignment horizontal="center" vertical="center"/>
    </xf>
    <xf numFmtId="0" fontId="0" fillId="0" borderId="19" xfId="0" applyFont="1" applyBorder="1" applyAlignment="1">
      <alignment horizontal="center" vertical="center"/>
    </xf>
    <xf numFmtId="0" fontId="10" fillId="6" borderId="31" xfId="0" quotePrefix="1" applyFont="1" applyFill="1" applyBorder="1" applyAlignment="1">
      <alignment horizontal="center" vertical="center" wrapText="1"/>
    </xf>
    <xf numFmtId="0" fontId="0" fillId="0" borderId="18" xfId="0" applyBorder="1" applyAlignment="1">
      <alignment horizontal="center" vertical="center"/>
    </xf>
    <xf numFmtId="10" fontId="0" fillId="0" borderId="19" xfId="2" applyNumberFormat="1" applyFont="1" applyBorder="1" applyAlignment="1">
      <alignment horizontal="center" vertical="center"/>
    </xf>
    <xf numFmtId="0" fontId="0" fillId="0" borderId="19" xfId="0" applyBorder="1" applyAlignment="1">
      <alignment horizontal="center" vertical="center"/>
    </xf>
    <xf numFmtId="0" fontId="10" fillId="5" borderId="31"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7" borderId="32" xfId="0" quotePrefix="1" applyFont="1" applyFill="1" applyBorder="1" applyAlignment="1">
      <alignment horizontal="center" vertical="center" wrapText="1"/>
    </xf>
    <xf numFmtId="0" fontId="0" fillId="0" borderId="9" xfId="0" applyBorder="1" applyAlignment="1">
      <alignment horizontal="center" vertical="center"/>
    </xf>
    <xf numFmtId="10" fontId="0" fillId="0" borderId="11" xfId="2" applyNumberFormat="1" applyFont="1" applyBorder="1" applyAlignment="1">
      <alignment horizontal="center" vertical="center"/>
    </xf>
    <xf numFmtId="0" fontId="0" fillId="0" borderId="11" xfId="0" applyBorder="1" applyAlignment="1">
      <alignment horizontal="center" vertical="center"/>
    </xf>
    <xf numFmtId="0" fontId="10" fillId="0" borderId="32" xfId="0" applyFont="1" applyBorder="1" applyAlignment="1">
      <alignment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8" xfId="0" applyFont="1" applyFill="1" applyBorder="1" applyAlignment="1">
      <alignment horizontal="center" vertical="center"/>
    </xf>
    <xf numFmtId="10" fontId="5" fillId="0" borderId="7" xfId="2" applyNumberFormat="1" applyFont="1" applyFill="1" applyBorder="1" applyAlignment="1">
      <alignment horizontal="center" vertical="center"/>
    </xf>
    <xf numFmtId="10" fontId="5" fillId="0" borderId="7" xfId="2" applyNumberFormat="1" applyFont="1" applyFill="1" applyBorder="1" applyAlignment="1">
      <alignment horizontal="center" vertical="center" wrapText="1"/>
    </xf>
    <xf numFmtId="10" fontId="5" fillId="0" borderId="7" xfId="2" applyNumberFormat="1" applyFont="1" applyBorder="1" applyAlignment="1">
      <alignment horizontal="center" vertical="center"/>
    </xf>
    <xf numFmtId="10" fontId="5" fillId="0" borderId="18" xfId="2" applyNumberFormat="1" applyFont="1" applyFill="1" applyBorder="1" applyAlignment="1">
      <alignment horizontal="center" vertical="center"/>
    </xf>
    <xf numFmtId="10" fontId="5" fillId="0" borderId="18" xfId="2" applyNumberFormat="1" applyFont="1" applyBorder="1" applyAlignment="1">
      <alignment horizontal="center" vertical="center"/>
    </xf>
    <xf numFmtId="10" fontId="5" fillId="0" borderId="18" xfId="2"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0" fillId="0" borderId="9" xfId="0" applyFont="1" applyFill="1" applyBorder="1" applyAlignment="1">
      <alignment horizontal="center" vertical="center"/>
    </xf>
    <xf numFmtId="0" fontId="3" fillId="0" borderId="8" xfId="0" applyFont="1" applyFill="1" applyBorder="1" applyAlignment="1">
      <alignment horizontal="center" vertical="center" textRotation="90" wrapText="1"/>
    </xf>
    <xf numFmtId="0" fontId="3" fillId="0" borderId="7" xfId="0" applyFont="1" applyFill="1" applyBorder="1" applyAlignment="1">
      <alignment horizontal="center" vertical="center" textRotation="90" wrapText="1"/>
    </xf>
    <xf numFmtId="0" fontId="3" fillId="0" borderId="10" xfId="0" applyFont="1" applyFill="1" applyBorder="1" applyAlignment="1">
      <alignment horizontal="center" vertical="center" textRotation="90" wrapText="1"/>
    </xf>
    <xf numFmtId="0" fontId="3" fillId="0" borderId="7"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7" xfId="0" applyFont="1" applyFill="1" applyBorder="1" applyAlignment="1">
      <alignment horizontal="center" vertical="center" textRotation="90" wrapText="1"/>
    </xf>
    <xf numFmtId="10" fontId="12" fillId="0" borderId="8" xfId="0" applyNumberFormat="1" applyFont="1" applyFill="1" applyBorder="1" applyAlignment="1">
      <alignment horizontal="left" vertical="center" wrapText="1"/>
    </xf>
    <xf numFmtId="10" fontId="12" fillId="0" borderId="7" xfId="0" applyNumberFormat="1" applyFont="1" applyBorder="1" applyAlignment="1">
      <alignment horizontal="left" vertical="center" wrapText="1"/>
    </xf>
    <xf numFmtId="10" fontId="12" fillId="0" borderId="7" xfId="0" applyNumberFormat="1" applyFont="1" applyFill="1" applyBorder="1" applyAlignment="1">
      <alignment horizontal="left" vertical="center" wrapText="1"/>
    </xf>
    <xf numFmtId="0" fontId="12" fillId="0" borderId="7" xfId="0" applyFont="1" applyFill="1" applyBorder="1" applyAlignment="1">
      <alignment vertical="center" wrapText="1"/>
    </xf>
    <xf numFmtId="0" fontId="12" fillId="0" borderId="7" xfId="0" applyFont="1" applyBorder="1" applyAlignment="1">
      <alignment vertical="center" wrapText="1"/>
    </xf>
    <xf numFmtId="10" fontId="14" fillId="0" borderId="7" xfId="0" applyNumberFormat="1" applyFont="1" applyBorder="1" applyAlignment="1">
      <alignment horizontal="left" vertical="center" wrapText="1"/>
    </xf>
    <xf numFmtId="10" fontId="14" fillId="0" borderId="7" xfId="0" applyNumberFormat="1" applyFont="1" applyFill="1" applyBorder="1" applyAlignment="1">
      <alignment horizontal="left" vertical="center" wrapText="1"/>
    </xf>
    <xf numFmtId="10" fontId="12" fillId="0" borderId="10" xfId="0" applyNumberFormat="1"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0" fontId="14" fillId="0" borderId="19" xfId="0" applyFont="1" applyFill="1" applyBorder="1" applyAlignment="1">
      <alignment horizontal="left" vertical="center" wrapText="1"/>
    </xf>
    <xf numFmtId="0" fontId="14" fillId="0" borderId="11" xfId="0" applyFont="1" applyBorder="1" applyAlignment="1">
      <alignment horizontal="left" vertical="center" wrapText="1"/>
    </xf>
    <xf numFmtId="10" fontId="5" fillId="0" borderId="18" xfId="2" applyNumberFormat="1" applyFont="1" applyFill="1" applyBorder="1" applyAlignment="1">
      <alignment vertical="center"/>
    </xf>
    <xf numFmtId="10" fontId="5" fillId="0" borderId="7" xfId="2" applyNumberFormat="1" applyFont="1" applyFill="1" applyBorder="1" applyAlignment="1">
      <alignment vertical="center"/>
    </xf>
    <xf numFmtId="10" fontId="5" fillId="0" borderId="18" xfId="2" applyNumberFormat="1" applyFont="1" applyBorder="1" applyAlignment="1">
      <alignment vertical="center"/>
    </xf>
    <xf numFmtId="164" fontId="5" fillId="0" borderId="18" xfId="1" applyNumberFormat="1" applyFont="1" applyBorder="1" applyAlignment="1">
      <alignment horizontal="center" vertical="center" textRotation="90"/>
    </xf>
    <xf numFmtId="164" fontId="5" fillId="0" borderId="7" xfId="1" applyNumberFormat="1" applyFont="1" applyBorder="1" applyAlignment="1">
      <alignment vertical="center" textRotation="90"/>
    </xf>
    <xf numFmtId="2" fontId="5" fillId="0" borderId="18" xfId="2" applyNumberFormat="1" applyFont="1" applyBorder="1" applyAlignment="1">
      <alignment horizontal="center" vertical="center"/>
    </xf>
    <xf numFmtId="2" fontId="5" fillId="0" borderId="7" xfId="2" applyNumberFormat="1" applyFont="1" applyBorder="1" applyAlignment="1">
      <alignment horizontal="center" vertical="center"/>
    </xf>
    <xf numFmtId="10" fontId="5" fillId="0" borderId="23" xfId="2" applyNumberFormat="1" applyFont="1" applyBorder="1" applyAlignment="1">
      <alignment horizontal="center" vertical="center" wrapText="1"/>
    </xf>
    <xf numFmtId="0" fontId="5" fillId="0" borderId="21" xfId="0" applyFont="1" applyFill="1" applyBorder="1" applyAlignment="1">
      <alignment horizontal="center" vertical="center" wrapText="1"/>
    </xf>
    <xf numFmtId="0" fontId="2" fillId="3" borderId="2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10" fontId="5" fillId="0" borderId="15" xfId="2" applyNumberFormat="1" applyFont="1" applyBorder="1" applyAlignment="1">
      <alignment horizontal="center" vertical="center"/>
    </xf>
    <xf numFmtId="10" fontId="5" fillId="0" borderId="15" xfId="2" applyNumberFormat="1" applyFont="1" applyFill="1" applyBorder="1" applyAlignment="1">
      <alignment horizontal="center" vertical="center"/>
    </xf>
    <xf numFmtId="10" fontId="5" fillId="0" borderId="15" xfId="2" applyNumberFormat="1" applyFont="1" applyFill="1" applyBorder="1" applyAlignment="1">
      <alignment horizontal="center" vertical="center" wrapText="1"/>
    </xf>
    <xf numFmtId="10" fontId="5" fillId="0" borderId="15" xfId="2" applyNumberFormat="1" applyFont="1" applyFill="1" applyBorder="1" applyAlignment="1">
      <alignment vertical="center"/>
    </xf>
    <xf numFmtId="10" fontId="5" fillId="0" borderId="15" xfId="2" applyNumberFormat="1" applyFont="1" applyFill="1" applyBorder="1" applyAlignment="1">
      <alignment vertical="center" wrapText="1"/>
    </xf>
    <xf numFmtId="10" fontId="5" fillId="0" borderId="15" xfId="2" applyNumberFormat="1" applyFont="1" applyBorder="1" applyAlignment="1">
      <alignment vertical="center"/>
    </xf>
    <xf numFmtId="164" fontId="5" fillId="0" borderId="15" xfId="1" applyNumberFormat="1" applyFont="1" applyBorder="1" applyAlignment="1">
      <alignment vertical="center" textRotation="90"/>
    </xf>
    <xf numFmtId="2" fontId="5" fillId="0" borderId="15" xfId="2" applyNumberFormat="1" applyFont="1" applyBorder="1" applyAlignment="1">
      <alignment horizontal="center" vertical="center"/>
    </xf>
    <xf numFmtId="0" fontId="2" fillId="4" borderId="34" xfId="0" applyFont="1" applyFill="1" applyBorder="1" applyAlignment="1">
      <alignment horizontal="center" vertical="center" wrapText="1"/>
    </xf>
    <xf numFmtId="10" fontId="5" fillId="8" borderId="37" xfId="2" applyNumberFormat="1" applyFont="1" applyFill="1" applyBorder="1" applyAlignment="1">
      <alignment horizontal="center" vertical="center"/>
    </xf>
    <xf numFmtId="10" fontId="5" fillId="7" borderId="38" xfId="2" applyNumberFormat="1" applyFont="1" applyFill="1" applyBorder="1" applyAlignment="1">
      <alignment horizontal="center" vertical="center"/>
    </xf>
    <xf numFmtId="10" fontId="5" fillId="8" borderId="38" xfId="2" applyNumberFormat="1" applyFont="1" applyFill="1" applyBorder="1" applyAlignment="1">
      <alignment horizontal="center" vertical="center"/>
    </xf>
    <xf numFmtId="10" fontId="4" fillId="7" borderId="38" xfId="2" applyNumberFormat="1" applyFont="1" applyFill="1" applyBorder="1" applyAlignment="1">
      <alignment horizontal="center" vertical="center"/>
    </xf>
    <xf numFmtId="10" fontId="4" fillId="7" borderId="38" xfId="0" applyNumberFormat="1" applyFont="1" applyFill="1" applyBorder="1" applyAlignment="1">
      <alignment horizontal="center" vertical="center"/>
    </xf>
    <xf numFmtId="10" fontId="5" fillId="8" borderId="38" xfId="0" applyNumberFormat="1" applyFont="1" applyFill="1" applyBorder="1" applyAlignment="1">
      <alignment horizontal="center" vertical="center"/>
    </xf>
    <xf numFmtId="10" fontId="5" fillId="7" borderId="38" xfId="0" applyNumberFormat="1" applyFont="1" applyFill="1" applyBorder="1" applyAlignment="1">
      <alignment horizontal="center" vertical="center"/>
    </xf>
    <xf numFmtId="10" fontId="5" fillId="8" borderId="38" xfId="2" applyNumberFormat="1" applyFont="1" applyFill="1" applyBorder="1" applyAlignment="1">
      <alignment horizontal="center" vertical="center" wrapText="1"/>
    </xf>
    <xf numFmtId="10" fontId="5" fillId="7" borderId="38" xfId="2" applyNumberFormat="1" applyFont="1" applyFill="1" applyBorder="1" applyAlignment="1">
      <alignment horizontal="center" vertical="center" wrapText="1"/>
    </xf>
    <xf numFmtId="10" fontId="4" fillId="8" borderId="38" xfId="0" applyNumberFormat="1" applyFont="1" applyFill="1" applyBorder="1" applyAlignment="1">
      <alignment horizontal="center" vertical="center"/>
    </xf>
    <xf numFmtId="10" fontId="5" fillId="7" borderId="38" xfId="0" applyNumberFormat="1" applyFont="1" applyFill="1" applyBorder="1" applyAlignment="1">
      <alignment horizontal="center" vertical="center" wrapText="1"/>
    </xf>
    <xf numFmtId="10" fontId="5" fillId="8" borderId="38" xfId="0" applyNumberFormat="1" applyFont="1" applyFill="1" applyBorder="1" applyAlignment="1">
      <alignment horizontal="center" vertical="center" wrapText="1"/>
    </xf>
    <xf numFmtId="164" fontId="5" fillId="7" borderId="38" xfId="1" applyNumberFormat="1" applyFont="1" applyFill="1" applyBorder="1" applyAlignment="1">
      <alignment horizontal="center" vertical="center" textRotation="90"/>
    </xf>
    <xf numFmtId="2" fontId="5" fillId="7" borderId="38" xfId="2" applyNumberFormat="1" applyFont="1" applyFill="1" applyBorder="1" applyAlignment="1">
      <alignment horizontal="center" vertical="center"/>
    </xf>
    <xf numFmtId="165" fontId="5" fillId="7" borderId="38" xfId="0" applyNumberFormat="1" applyFont="1" applyFill="1" applyBorder="1" applyAlignment="1">
      <alignment horizontal="center" vertical="center"/>
    </xf>
    <xf numFmtId="10" fontId="5" fillId="8" borderId="39" xfId="0" applyNumberFormat="1" applyFont="1" applyFill="1" applyBorder="1" applyAlignment="1">
      <alignment horizontal="center" vertical="center"/>
    </xf>
    <xf numFmtId="10" fontId="10" fillId="7" borderId="34" xfId="2" applyNumberFormat="1" applyFont="1"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10" fillId="2" borderId="0" xfId="0" applyFont="1" applyFill="1" applyBorder="1" applyAlignment="1">
      <alignment horizontal="center" vertical="center"/>
    </xf>
    <xf numFmtId="0" fontId="0" fillId="2" borderId="0" xfId="0" applyFill="1"/>
    <xf numFmtId="10" fontId="0" fillId="2" borderId="0" xfId="2" applyNumberFormat="1" applyFont="1" applyFill="1" applyAlignment="1">
      <alignment horizontal="center" vertical="center"/>
    </xf>
    <xf numFmtId="0" fontId="0" fillId="2" borderId="0" xfId="0" applyFill="1" applyAlignment="1">
      <alignment wrapText="1"/>
    </xf>
    <xf numFmtId="0" fontId="11" fillId="2" borderId="0" xfId="0" applyFont="1" applyFill="1" applyBorder="1" applyAlignment="1">
      <alignment horizontal="center" vertical="center"/>
    </xf>
    <xf numFmtId="0" fontId="10" fillId="2" borderId="0" xfId="0" applyFont="1" applyFill="1" applyAlignment="1">
      <alignment horizontal="center" vertical="center"/>
    </xf>
    <xf numFmtId="10" fontId="0" fillId="2" borderId="0" xfId="2" applyNumberFormat="1" applyFont="1" applyFill="1"/>
    <xf numFmtId="0" fontId="10" fillId="2" borderId="0" xfId="0" applyFont="1" applyFill="1" applyAlignment="1"/>
    <xf numFmtId="0" fontId="10" fillId="2" borderId="33" xfId="0" applyFont="1" applyFill="1" applyBorder="1" applyAlignment="1"/>
    <xf numFmtId="0" fontId="0" fillId="2" borderId="0" xfId="0" applyFill="1" applyAlignment="1">
      <alignment horizontal="center" vertical="center"/>
    </xf>
    <xf numFmtId="10" fontId="13" fillId="0" borderId="7" xfId="0" applyNumberFormat="1" applyFont="1" applyBorder="1" applyAlignment="1">
      <alignment horizontal="left" vertical="center" wrapText="1"/>
    </xf>
    <xf numFmtId="10" fontId="15" fillId="0" borderId="7" xfId="0" applyNumberFormat="1" applyFont="1" applyFill="1" applyBorder="1" applyAlignment="1">
      <alignment horizontal="left" vertical="center" wrapText="1"/>
    </xf>
    <xf numFmtId="10" fontId="5" fillId="0" borderId="7" xfId="2" applyNumberFormat="1" applyFont="1" applyBorder="1" applyAlignment="1">
      <alignment horizontal="center" vertical="center"/>
    </xf>
    <xf numFmtId="10" fontId="5" fillId="0" borderId="7" xfId="2" applyNumberFormat="1" applyFont="1" applyFill="1" applyBorder="1" applyAlignment="1">
      <alignment horizontal="center" vertical="center"/>
    </xf>
    <xf numFmtId="10" fontId="5" fillId="0" borderId="15" xfId="2" applyNumberFormat="1" applyFont="1" applyFill="1" applyBorder="1" applyAlignment="1">
      <alignment horizontal="center" vertical="center"/>
    </xf>
    <xf numFmtId="10" fontId="5" fillId="0" borderId="15" xfId="2" applyNumberFormat="1" applyFont="1" applyBorder="1" applyAlignment="1">
      <alignment horizontal="center" vertical="center"/>
    </xf>
    <xf numFmtId="10" fontId="5" fillId="0" borderId="10" xfId="2" applyNumberFormat="1" applyFont="1" applyBorder="1" applyAlignment="1">
      <alignment horizontal="center" vertical="center"/>
    </xf>
    <xf numFmtId="0" fontId="5" fillId="0" borderId="7" xfId="0" applyFont="1" applyBorder="1" applyAlignment="1">
      <alignment horizontal="center" vertical="center" wrapText="1"/>
    </xf>
    <xf numFmtId="10" fontId="5" fillId="0" borderId="18" xfId="2" applyNumberFormat="1" applyFont="1" applyBorder="1" applyAlignment="1">
      <alignment horizontal="center" vertical="center"/>
    </xf>
    <xf numFmtId="10" fontId="5" fillId="0" borderId="9" xfId="2" applyNumberFormat="1" applyFont="1" applyBorder="1" applyAlignment="1">
      <alignment horizontal="center" vertical="center"/>
    </xf>
    <xf numFmtId="10" fontId="5" fillId="0" borderId="18" xfId="2" applyNumberFormat="1" applyFont="1" applyFill="1" applyBorder="1" applyAlignment="1">
      <alignment horizontal="center" vertical="center"/>
    </xf>
    <xf numFmtId="0" fontId="5" fillId="0" borderId="18" xfId="0" applyFont="1" applyBorder="1" applyAlignment="1">
      <alignment horizontal="center" vertical="center" wrapText="1"/>
    </xf>
    <xf numFmtId="10" fontId="5" fillId="0" borderId="18" xfId="2" applyNumberFormat="1" applyFont="1" applyFill="1" applyBorder="1" applyAlignment="1">
      <alignment horizontal="center" vertical="center" wrapText="1"/>
    </xf>
    <xf numFmtId="10" fontId="5" fillId="0" borderId="7" xfId="2" applyNumberFormat="1"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10" fontId="5" fillId="0" borderId="8" xfId="2" applyNumberFormat="1" applyFont="1" applyFill="1" applyBorder="1" applyAlignment="1">
      <alignment horizontal="center" vertical="center"/>
    </xf>
    <xf numFmtId="10" fontId="5" fillId="0" borderId="14" xfId="2"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10" fontId="5" fillId="0" borderId="16" xfId="2" applyNumberFormat="1" applyFont="1" applyFill="1" applyBorder="1" applyAlignment="1">
      <alignment horizontal="center" vertical="center"/>
    </xf>
    <xf numFmtId="10" fontId="5" fillId="0" borderId="13" xfId="2" applyNumberFormat="1" applyFont="1" applyBorder="1" applyAlignment="1">
      <alignment horizontal="center" vertical="center"/>
    </xf>
    <xf numFmtId="10" fontId="5" fillId="0" borderId="15" xfId="2" applyNumberFormat="1" applyFont="1" applyFill="1" applyBorder="1" applyAlignment="1">
      <alignment horizontal="center" vertical="center" wrapText="1"/>
    </xf>
  </cellXfs>
  <cellStyles count="29">
    <cellStyle name="Millares [0] 2" xfId="26"/>
    <cellStyle name="Millares 2" xfId="6"/>
    <cellStyle name="Millares 3" xfId="20"/>
    <cellStyle name="Moneda" xfId="1" builtinId="4"/>
    <cellStyle name="Moneda 2" xfId="7"/>
    <cellStyle name="Moneda 3" xfId="21"/>
    <cellStyle name="Normal" xfId="0" builtinId="0"/>
    <cellStyle name="Normal 2" xfId="8"/>
    <cellStyle name="Normal 2 2" xfId="9"/>
    <cellStyle name="Normal 2 2 2" xfId="10"/>
    <cellStyle name="Normal 2 3" xfId="11"/>
    <cellStyle name="Normal 2 4" xfId="3"/>
    <cellStyle name="Normal 2_EGE-FT-017 HOJA DE VIDA INDICADOR SEGURIDAD Y SALUD EN EL TRABAJO" xfId="12"/>
    <cellStyle name="Normal 3" xfId="13"/>
    <cellStyle name="Normal 3 2" xfId="14"/>
    <cellStyle name="Normal 3_EGE-FT-017 HOJA DE VIDA INDICADOR SEGURIDAD Y SALUD EN EL TRABAJO" xfId="15"/>
    <cellStyle name="Normal 4" xfId="16"/>
    <cellStyle name="Normal 5" xfId="4"/>
    <cellStyle name="Normal 5 2" xfId="27"/>
    <cellStyle name="Normal 6" xfId="24"/>
    <cellStyle name="Porcentaje" xfId="2" builtinId="5"/>
    <cellStyle name="Porcentaje 2" xfId="17"/>
    <cellStyle name="Porcentaje 2 2" xfId="19"/>
    <cellStyle name="Porcentaje 3" xfId="18"/>
    <cellStyle name="Porcentaje 4" xfId="22"/>
    <cellStyle name="Porcentaje 5" xfId="25"/>
    <cellStyle name="Porcentual 2" xfId="5"/>
    <cellStyle name="Porcentual 2 2" xfId="23"/>
    <cellStyle name="Porcentual 2 3"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s-CO" sz="1600"/>
              <a:t>Resultados plan de acción a diciembre</a:t>
            </a:r>
            <a:r>
              <a:rPr lang="es-CO" sz="1600" baseline="0"/>
              <a:t> 31 de 2019</a:t>
            </a:r>
            <a:endParaRPr lang="es-CO" sz="1600"/>
          </a:p>
        </c:rich>
      </c:tx>
      <c:layout/>
      <c:overlay val="0"/>
    </c:title>
    <c:autoTitleDeleted val="0"/>
    <c:plotArea>
      <c:layout/>
      <c:pieChart>
        <c:varyColors val="1"/>
        <c:ser>
          <c:idx val="0"/>
          <c:order val="0"/>
          <c:dPt>
            <c:idx val="0"/>
            <c:bubble3D val="0"/>
            <c:spPr>
              <a:solidFill>
                <a:schemeClr val="bg1"/>
              </a:solidFill>
            </c:spPr>
          </c:dPt>
          <c:dPt>
            <c:idx val="1"/>
            <c:bubble3D val="0"/>
            <c:spPr>
              <a:solidFill>
                <a:srgbClr val="FF0000"/>
              </a:solidFill>
            </c:spPr>
          </c:dPt>
          <c:dPt>
            <c:idx val="2"/>
            <c:bubble3D val="0"/>
            <c:spPr>
              <a:solidFill>
                <a:srgbClr val="FFFF00"/>
              </a:solidFill>
            </c:spPr>
          </c:dPt>
          <c:dPt>
            <c:idx val="3"/>
            <c:bubble3D val="0"/>
            <c:spPr>
              <a:solidFill>
                <a:srgbClr val="92D050"/>
              </a:solidFill>
            </c:spPr>
          </c:dPt>
          <c:dPt>
            <c:idx val="4"/>
            <c:bubble3D val="0"/>
            <c:spPr>
              <a:solidFill>
                <a:srgbClr val="00B050"/>
              </a:solidFill>
            </c:spPr>
          </c:dPt>
          <c:dLbls>
            <c:dLbl>
              <c:idx val="0"/>
              <c:delete val="1"/>
              <c:extLst>
                <c:ext xmlns:c15="http://schemas.microsoft.com/office/drawing/2012/chart" uri="{CE6537A1-D6FC-4f65-9D91-7224C49458BB}">
                  <c15:layout/>
                </c:ext>
              </c:extLst>
            </c:dLbl>
            <c:dLbl>
              <c:idx val="1"/>
              <c:delete val="1"/>
              <c:extLst>
                <c:ext xmlns:c15="http://schemas.microsoft.com/office/drawing/2012/chart" uri="{CE6537A1-D6FC-4f65-9D91-7224C49458BB}">
                  <c15:layout/>
                </c:ext>
              </c:extLst>
            </c:dLbl>
            <c:dLbl>
              <c:idx val="2"/>
              <c:delete val="1"/>
              <c:extLst>
                <c:ext xmlns:c15="http://schemas.microsoft.com/office/drawing/2012/chart" uri="{CE6537A1-D6FC-4f65-9D91-7224C49458BB}">
                  <c15:layout>
                    <c:manualLayout>
                      <c:w val="0.11703408291027194"/>
                      <c:h val="8.4643952601788294E-2"/>
                    </c:manualLayout>
                  </c15:layout>
                </c:ext>
              </c:extLst>
            </c:dLbl>
            <c:dLbl>
              <c:idx val="3"/>
              <c:layout>
                <c:manualLayout>
                  <c:x val="-0.1132085588097788"/>
                  <c:y val="0.13533233244076004"/>
                </c:manualLayout>
              </c:layout>
              <c:tx>
                <c:rich>
                  <a:bodyPr/>
                  <a:lstStyle/>
                  <a:p>
                    <a:r>
                      <a:rPr lang="en-US" b="1"/>
                      <a:t>19,23% (10)</a:t>
                    </a:r>
                    <a:endParaRPr lang="en-US"/>
                  </a:p>
                </c:rich>
              </c:tx>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0.15368158399872808"/>
                  <c:y val="-0.13150777316933798"/>
                </c:manualLayout>
              </c:layout>
              <c:tx>
                <c:rich>
                  <a:bodyPr/>
                  <a:lstStyle/>
                  <a:p>
                    <a:pPr>
                      <a:defRPr b="1"/>
                    </a:pPr>
                    <a:r>
                      <a:rPr lang="en-US" b="1"/>
                      <a:t>80,77% (42)</a:t>
                    </a:r>
                    <a:endParaRPr lang="en-US"/>
                  </a:p>
                </c:rich>
              </c:tx>
              <c:spPr>
                <a:noFill/>
              </c:spPr>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a:lstStyle/>
              <a:p>
                <a:pPr>
                  <a:defRPr b="1"/>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Tablas!$I$2:$I$6</c:f>
              <c:strCache>
                <c:ptCount val="5"/>
                <c:pt idx="0">
                  <c:v>(sin datos)</c:v>
                </c:pt>
                <c:pt idx="1">
                  <c:v>-30% (crítico)</c:v>
                </c:pt>
                <c:pt idx="2">
                  <c:v>30% - 60% (aceptable)</c:v>
                </c:pt>
                <c:pt idx="3">
                  <c:v>60% - 90% (satisfactorio)</c:v>
                </c:pt>
                <c:pt idx="4">
                  <c:v>+ 90% (muy satisfactorio)</c:v>
                </c:pt>
              </c:strCache>
            </c:strRef>
          </c:cat>
          <c:val>
            <c:numRef>
              <c:f>Tablas!$J$2:$J$6</c:f>
              <c:numCache>
                <c:formatCode>General</c:formatCode>
                <c:ptCount val="5"/>
                <c:pt idx="0">
                  <c:v>0</c:v>
                </c:pt>
                <c:pt idx="1">
                  <c:v>0</c:v>
                </c:pt>
                <c:pt idx="2">
                  <c:v>0</c:v>
                </c:pt>
                <c:pt idx="3">
                  <c:v>10</c:v>
                </c:pt>
                <c:pt idx="4">
                  <c:v>42</c:v>
                </c:pt>
              </c:numCache>
            </c:numRef>
          </c:val>
        </c:ser>
        <c:dLbls>
          <c:showLegendKey val="0"/>
          <c:showVal val="0"/>
          <c:showCatName val="0"/>
          <c:showSerName val="0"/>
          <c:showPercent val="1"/>
          <c:showBubbleSize val="0"/>
          <c:showLeaderLines val="1"/>
        </c:dLbls>
        <c:firstSliceAng val="0"/>
      </c:pieChart>
    </c:plotArea>
    <c:legend>
      <c:legendPos val="r"/>
      <c:legendEntry>
        <c:idx val="0"/>
        <c:delete val="1"/>
      </c:legendEntry>
      <c:legendEntry>
        <c:idx val="1"/>
        <c:delete val="1"/>
      </c:legendEntry>
      <c:legendEntry>
        <c:idx val="2"/>
        <c:delete val="1"/>
      </c:legendEntry>
      <c:layout/>
      <c:overlay val="0"/>
      <c:txPr>
        <a:bodyPr/>
        <a:lstStyle/>
        <a:p>
          <a:pPr>
            <a:defRPr b="1"/>
          </a:pPr>
          <a:endParaRPr lang="es-CO"/>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1104900</xdr:colOff>
      <xdr:row>17</xdr:row>
      <xdr:rowOff>695325</xdr:rowOff>
    </xdr:from>
    <xdr:ext cx="65" cy="172227"/>
    <xdr:sp macro="" textlink="">
      <xdr:nvSpPr>
        <xdr:cNvPr id="6" name="CuadroTexto 5"/>
        <xdr:cNvSpPr txBox="1"/>
      </xdr:nvSpPr>
      <xdr:spPr>
        <a:xfrm>
          <a:off x="15316200" y="10125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5</xdr:col>
      <xdr:colOff>1104900</xdr:colOff>
      <xdr:row>17</xdr:row>
      <xdr:rowOff>695325</xdr:rowOff>
    </xdr:from>
    <xdr:ext cx="65" cy="172227"/>
    <xdr:sp macro="" textlink="">
      <xdr:nvSpPr>
        <xdr:cNvPr id="7" name="CuadroTexto 1"/>
        <xdr:cNvSpPr txBox="1"/>
      </xdr:nvSpPr>
      <xdr:spPr>
        <a:xfrm>
          <a:off x="4724400" y="116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twoCellAnchor editAs="oneCell">
    <xdr:from>
      <xdr:col>20</xdr:col>
      <xdr:colOff>488156</xdr:colOff>
      <xdr:row>0</xdr:row>
      <xdr:rowOff>71436</xdr:rowOff>
    </xdr:from>
    <xdr:to>
      <xdr:col>20</xdr:col>
      <xdr:colOff>1249521</xdr:colOff>
      <xdr:row>0</xdr:row>
      <xdr:rowOff>729296</xdr:rowOff>
    </xdr:to>
    <xdr:pic>
      <xdr:nvPicPr>
        <xdr:cNvPr id="8" name="7 Imagen" descr="C:\Users\john.garcia\Desktop\2020-01-08.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95469" y="71436"/>
          <a:ext cx="761365" cy="657860"/>
        </a:xfrm>
        <a:prstGeom prst="rect">
          <a:avLst/>
        </a:prstGeom>
        <a:noFill/>
        <a:ln>
          <a:noFill/>
        </a:ln>
      </xdr:spPr>
    </xdr:pic>
    <xdr:clientData/>
  </xdr:twoCellAnchor>
  <xdr:twoCellAnchor editAs="oneCell">
    <xdr:from>
      <xdr:col>23</xdr:col>
      <xdr:colOff>552976</xdr:colOff>
      <xdr:row>0</xdr:row>
      <xdr:rowOff>82022</xdr:rowOff>
    </xdr:from>
    <xdr:to>
      <xdr:col>23</xdr:col>
      <xdr:colOff>1314341</xdr:colOff>
      <xdr:row>0</xdr:row>
      <xdr:rowOff>739882</xdr:rowOff>
    </xdr:to>
    <xdr:pic>
      <xdr:nvPicPr>
        <xdr:cNvPr id="9" name="8 Imagen" descr="C:\Users\john.garcia\Desktop\2020-01-08.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14809" y="82022"/>
          <a:ext cx="761365" cy="657860"/>
        </a:xfrm>
        <a:prstGeom prst="rect">
          <a:avLst/>
        </a:prstGeom>
        <a:noFill/>
        <a:ln>
          <a:noFill/>
        </a:ln>
      </xdr:spPr>
    </xdr:pic>
    <xdr:clientData/>
  </xdr:twoCellAnchor>
  <xdr:oneCellAnchor>
    <xdr:from>
      <xdr:col>5</xdr:col>
      <xdr:colOff>1104900</xdr:colOff>
      <xdr:row>22</xdr:row>
      <xdr:rowOff>0</xdr:rowOff>
    </xdr:from>
    <xdr:ext cx="65" cy="172227"/>
    <xdr:sp macro="" textlink="">
      <xdr:nvSpPr>
        <xdr:cNvPr id="10" name="CuadroTexto 5"/>
        <xdr:cNvSpPr txBox="1"/>
      </xdr:nvSpPr>
      <xdr:spPr>
        <a:xfrm>
          <a:off x="15316200" y="1314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twoCellAnchor editAs="oneCell">
    <xdr:from>
      <xdr:col>0</xdr:col>
      <xdr:colOff>166684</xdr:colOff>
      <xdr:row>0</xdr:row>
      <xdr:rowOff>71436</xdr:rowOff>
    </xdr:from>
    <xdr:to>
      <xdr:col>2</xdr:col>
      <xdr:colOff>59527</xdr:colOff>
      <xdr:row>0</xdr:row>
      <xdr:rowOff>776768</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684" y="71436"/>
          <a:ext cx="928687" cy="705332"/>
        </a:xfrm>
        <a:prstGeom prst="rect">
          <a:avLst/>
        </a:prstGeom>
      </xdr:spPr>
    </xdr:pic>
    <xdr:clientData/>
  </xdr:twoCellAnchor>
  <xdr:twoCellAnchor editAs="oneCell">
    <xdr:from>
      <xdr:col>21</xdr:col>
      <xdr:colOff>107161</xdr:colOff>
      <xdr:row>0</xdr:row>
      <xdr:rowOff>59530</xdr:rowOff>
    </xdr:from>
    <xdr:to>
      <xdr:col>22</xdr:col>
      <xdr:colOff>738191</xdr:colOff>
      <xdr:row>0</xdr:row>
      <xdr:rowOff>764862</xdr:rowOff>
    </xdr:to>
    <xdr:pic>
      <xdr:nvPicPr>
        <xdr:cNvPr id="11" name="10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97630" y="59530"/>
          <a:ext cx="928687" cy="705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695325</xdr:rowOff>
    </xdr:from>
    <xdr:ext cx="65" cy="172227"/>
    <xdr:sp macro="" textlink="">
      <xdr:nvSpPr>
        <xdr:cNvPr id="2" name="CuadroTexto 1"/>
        <xdr:cNvSpPr txBox="1"/>
      </xdr:nvSpPr>
      <xdr:spPr>
        <a:xfrm>
          <a:off x="0" y="38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twoCellAnchor>
    <xdr:from>
      <xdr:col>7</xdr:col>
      <xdr:colOff>210552</xdr:colOff>
      <xdr:row>9</xdr:row>
      <xdr:rowOff>158978</xdr:rowOff>
    </xdr:from>
    <xdr:to>
      <xdr:col>14</xdr:col>
      <xdr:colOff>436770</xdr:colOff>
      <xdr:row>27</xdr:row>
      <xdr:rowOff>95876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6"/>
  <sheetViews>
    <sheetView tabSelected="1" view="pageBreakPreview" zoomScale="95" zoomScaleNormal="80" zoomScaleSheetLayoutView="95" workbookViewId="0">
      <pane ySplit="4" topLeftCell="A5" activePane="bottomLeft" state="frozen"/>
      <selection pane="bottomLeft" activeCell="T4" sqref="T4"/>
    </sheetView>
  </sheetViews>
  <sheetFormatPr baseColWidth="10" defaultRowHeight="15" x14ac:dyDescent="0.25"/>
  <cols>
    <col min="1" max="1" width="4.42578125" customWidth="1"/>
    <col min="2" max="2" width="11.140625" customWidth="1"/>
    <col min="3" max="3" width="6.42578125" customWidth="1"/>
    <col min="4" max="4" width="22.85546875" customWidth="1"/>
    <col min="5" max="5" width="18.140625" customWidth="1"/>
    <col min="6" max="6" width="21" customWidth="1"/>
    <col min="7" max="7" width="19.85546875" customWidth="1"/>
    <col min="8" max="19" width="7.5703125" customWidth="1"/>
    <col min="20" max="20" width="13.85546875" customWidth="1"/>
    <col min="21" max="21" width="23" customWidth="1"/>
    <col min="22" max="22" width="4.42578125" customWidth="1"/>
    <col min="23" max="23" width="201.42578125" style="5" customWidth="1"/>
    <col min="24" max="24" width="23.7109375" customWidth="1"/>
  </cols>
  <sheetData>
    <row r="1" spans="1:24" ht="64.5" customHeight="1" thickBot="1" x14ac:dyDescent="0.3">
      <c r="A1" s="161" t="s">
        <v>314</v>
      </c>
      <c r="B1" s="162"/>
      <c r="C1" s="162"/>
      <c r="D1" s="162"/>
      <c r="E1" s="162"/>
      <c r="F1" s="162"/>
      <c r="G1" s="162"/>
      <c r="H1" s="162"/>
      <c r="I1" s="162"/>
      <c r="J1" s="162"/>
      <c r="K1" s="162"/>
      <c r="L1" s="162"/>
      <c r="M1" s="162"/>
      <c r="N1" s="162"/>
      <c r="O1" s="162"/>
      <c r="P1" s="162"/>
      <c r="Q1" s="162"/>
      <c r="R1" s="162"/>
      <c r="S1" s="163"/>
      <c r="T1" s="162"/>
      <c r="U1" s="163"/>
      <c r="V1" s="161" t="str">
        <f>+A1</f>
        <v>REPORTE INDICADORES CANAL CAPITAL
Seguimiento plan de acción
Reporte Semestre 2- 2019
Fecha de informe: 31/01/2020</v>
      </c>
      <c r="W1" s="162"/>
      <c r="X1" s="163"/>
    </row>
    <row r="2" spans="1:24" ht="7.5" customHeight="1" thickBot="1" x14ac:dyDescent="0.3">
      <c r="B2" s="7"/>
      <c r="C2" s="7"/>
      <c r="D2" s="7"/>
      <c r="E2" s="7"/>
      <c r="F2" s="7"/>
      <c r="G2" s="7"/>
      <c r="H2" s="7"/>
      <c r="I2" s="7"/>
      <c r="J2" s="7"/>
      <c r="K2" s="7"/>
      <c r="L2" s="7"/>
      <c r="M2" s="7"/>
      <c r="N2" s="7"/>
      <c r="O2" s="7"/>
      <c r="P2" s="7"/>
      <c r="Q2" s="7"/>
      <c r="R2" s="7"/>
      <c r="S2" s="7"/>
      <c r="T2" s="7"/>
      <c r="U2" s="7"/>
      <c r="V2" s="7"/>
      <c r="W2" s="7"/>
    </row>
    <row r="3" spans="1:24" ht="15.75" thickBot="1" x14ac:dyDescent="0.3">
      <c r="A3" s="164" t="s">
        <v>64</v>
      </c>
      <c r="B3" s="166" t="s">
        <v>0</v>
      </c>
      <c r="C3" s="168" t="s">
        <v>1</v>
      </c>
      <c r="D3" s="168" t="s">
        <v>2</v>
      </c>
      <c r="E3" s="168" t="s">
        <v>3</v>
      </c>
      <c r="F3" s="166" t="s">
        <v>4</v>
      </c>
      <c r="G3" s="157" t="s">
        <v>5</v>
      </c>
      <c r="H3" s="174" t="s">
        <v>6</v>
      </c>
      <c r="I3" s="175"/>
      <c r="J3" s="175"/>
      <c r="K3" s="175"/>
      <c r="L3" s="175"/>
      <c r="M3" s="175"/>
      <c r="N3" s="175"/>
      <c r="O3" s="175"/>
      <c r="P3" s="175"/>
      <c r="Q3" s="175"/>
      <c r="R3" s="175"/>
      <c r="S3" s="175"/>
      <c r="T3" s="176"/>
      <c r="U3" s="159" t="s">
        <v>7</v>
      </c>
      <c r="V3" s="164" t="s">
        <v>64</v>
      </c>
      <c r="W3" s="172" t="s">
        <v>280</v>
      </c>
      <c r="X3" s="172" t="s">
        <v>281</v>
      </c>
    </row>
    <row r="4" spans="1:24" ht="36" customHeight="1" thickBot="1" x14ac:dyDescent="0.3">
      <c r="A4" s="165"/>
      <c r="B4" s="167"/>
      <c r="C4" s="169"/>
      <c r="D4" s="169"/>
      <c r="E4" s="169"/>
      <c r="F4" s="167"/>
      <c r="G4" s="158"/>
      <c r="H4" s="102" t="s">
        <v>8</v>
      </c>
      <c r="I4" s="103" t="s">
        <v>9</v>
      </c>
      <c r="J4" s="103" t="s">
        <v>10</v>
      </c>
      <c r="K4" s="103" t="s">
        <v>11</v>
      </c>
      <c r="L4" s="103" t="s">
        <v>12</v>
      </c>
      <c r="M4" s="103" t="s">
        <v>13</v>
      </c>
      <c r="N4" s="103" t="s">
        <v>14</v>
      </c>
      <c r="O4" s="103" t="s">
        <v>15</v>
      </c>
      <c r="P4" s="103" t="s">
        <v>16</v>
      </c>
      <c r="Q4" s="103" t="s">
        <v>17</v>
      </c>
      <c r="R4" s="103" t="s">
        <v>18</v>
      </c>
      <c r="S4" s="104" t="s">
        <v>19</v>
      </c>
      <c r="T4" s="113" t="s">
        <v>279</v>
      </c>
      <c r="U4" s="160"/>
      <c r="V4" s="165"/>
      <c r="W4" s="173"/>
      <c r="X4" s="173"/>
    </row>
    <row r="5" spans="1:24" ht="181.5" customHeight="1" x14ac:dyDescent="0.25">
      <c r="A5" s="16">
        <v>1</v>
      </c>
      <c r="B5" s="75" t="s">
        <v>20</v>
      </c>
      <c r="C5" s="75" t="s">
        <v>219</v>
      </c>
      <c r="D5" s="9" t="s">
        <v>201</v>
      </c>
      <c r="E5" s="9" t="s">
        <v>21</v>
      </c>
      <c r="F5" s="9" t="s">
        <v>271</v>
      </c>
      <c r="G5" s="19" t="s">
        <v>130</v>
      </c>
      <c r="H5" s="177">
        <f>28.74%/100%</f>
        <v>0.28739999999999999</v>
      </c>
      <c r="I5" s="170"/>
      <c r="J5" s="170"/>
      <c r="K5" s="170">
        <f>44.89%/100%</f>
        <v>0.44890000000000002</v>
      </c>
      <c r="L5" s="170"/>
      <c r="M5" s="170"/>
      <c r="N5" s="170">
        <f>70.86%/100%</f>
        <v>0.70860000000000001</v>
      </c>
      <c r="O5" s="170"/>
      <c r="P5" s="170"/>
      <c r="Q5" s="170">
        <f>88.76/100</f>
        <v>0.88760000000000006</v>
      </c>
      <c r="R5" s="170"/>
      <c r="S5" s="171"/>
      <c r="T5" s="114">
        <f>+Q5</f>
        <v>0.88760000000000006</v>
      </c>
      <c r="U5" s="23" t="s">
        <v>330</v>
      </c>
      <c r="V5" s="12">
        <f>+A5</f>
        <v>1</v>
      </c>
      <c r="W5" s="81" t="s">
        <v>351</v>
      </c>
      <c r="X5" s="89" t="s">
        <v>321</v>
      </c>
    </row>
    <row r="6" spans="1:24" ht="114.75" customHeight="1" x14ac:dyDescent="0.25">
      <c r="A6" s="14">
        <v>2</v>
      </c>
      <c r="B6" s="76" t="s">
        <v>20</v>
      </c>
      <c r="C6" s="76" t="s">
        <v>220</v>
      </c>
      <c r="D6" s="73" t="s">
        <v>202</v>
      </c>
      <c r="E6" s="73" t="s">
        <v>22</v>
      </c>
      <c r="F6" s="73" t="s">
        <v>23</v>
      </c>
      <c r="G6" s="11" t="s">
        <v>24</v>
      </c>
      <c r="H6" s="153">
        <f>3077128919/5822550121</f>
        <v>0.52848474552444302</v>
      </c>
      <c r="I6" s="146"/>
      <c r="J6" s="146"/>
      <c r="K6" s="146">
        <f>3875607519/5822550121</f>
        <v>0.66562029324951177</v>
      </c>
      <c r="L6" s="146"/>
      <c r="M6" s="146"/>
      <c r="N6" s="146">
        <f>8336620698/9161985479</f>
        <v>0.90991420114212129</v>
      </c>
      <c r="O6" s="146"/>
      <c r="P6" s="146"/>
      <c r="Q6" s="146">
        <f>8872360615/9086160979</f>
        <v>0.97646967024971965</v>
      </c>
      <c r="R6" s="146"/>
      <c r="S6" s="147"/>
      <c r="T6" s="115">
        <f>+Q6</f>
        <v>0.97646967024971965</v>
      </c>
      <c r="U6" s="24" t="s">
        <v>164</v>
      </c>
      <c r="V6" s="13">
        <f t="shared" ref="V6:V56" si="0">+A6</f>
        <v>2</v>
      </c>
      <c r="W6" s="82" t="s">
        <v>361</v>
      </c>
      <c r="X6" s="90" t="s">
        <v>322</v>
      </c>
    </row>
    <row r="7" spans="1:24" ht="119.25" customHeight="1" x14ac:dyDescent="0.25">
      <c r="A7" s="14">
        <v>3</v>
      </c>
      <c r="B7" s="76" t="s">
        <v>20</v>
      </c>
      <c r="C7" s="76" t="s">
        <v>221</v>
      </c>
      <c r="D7" s="73" t="s">
        <v>202</v>
      </c>
      <c r="E7" s="73" t="s">
        <v>25</v>
      </c>
      <c r="F7" s="73" t="s">
        <v>26</v>
      </c>
      <c r="G7" s="11" t="s">
        <v>27</v>
      </c>
      <c r="H7" s="153">
        <f>3459717719/6445500000</f>
        <v>0.53676483112248852</v>
      </c>
      <c r="I7" s="146"/>
      <c r="J7" s="146"/>
      <c r="K7" s="146">
        <f>4293196319/6466678889</f>
        <v>0.66389508319376211</v>
      </c>
      <c r="L7" s="146"/>
      <c r="M7" s="146"/>
      <c r="N7" s="145">
        <f>8961703898/9828664368</f>
        <v>0.91179264673818394</v>
      </c>
      <c r="O7" s="145"/>
      <c r="P7" s="145"/>
      <c r="Q7" s="145">
        <f>9575206920/9829440362</f>
        <v>0.97413551202946913</v>
      </c>
      <c r="R7" s="145"/>
      <c r="S7" s="148"/>
      <c r="T7" s="115">
        <f>+Q7</f>
        <v>0.97413551202946913</v>
      </c>
      <c r="U7" s="24" t="s">
        <v>165</v>
      </c>
      <c r="V7" s="13">
        <f t="shared" si="0"/>
        <v>3</v>
      </c>
      <c r="W7" s="82" t="s">
        <v>362</v>
      </c>
      <c r="X7" s="90" t="s">
        <v>323</v>
      </c>
    </row>
    <row r="8" spans="1:24" ht="197.25" customHeight="1" x14ac:dyDescent="0.25">
      <c r="A8" s="14">
        <v>4</v>
      </c>
      <c r="B8" s="76" t="s">
        <v>20</v>
      </c>
      <c r="C8" s="76" t="s">
        <v>222</v>
      </c>
      <c r="D8" s="73" t="s">
        <v>201</v>
      </c>
      <c r="E8" s="73" t="s">
        <v>74</v>
      </c>
      <c r="F8" s="73" t="s">
        <v>271</v>
      </c>
      <c r="G8" s="11" t="s">
        <v>131</v>
      </c>
      <c r="H8" s="153">
        <f>13.6%/100%</f>
        <v>0.13600000000000001</v>
      </c>
      <c r="I8" s="146"/>
      <c r="J8" s="146"/>
      <c r="K8" s="146">
        <f>14%/100%</f>
        <v>0.14000000000000001</v>
      </c>
      <c r="L8" s="146"/>
      <c r="M8" s="146"/>
      <c r="N8" s="146">
        <f>36%/100%</f>
        <v>0.36</v>
      </c>
      <c r="O8" s="146"/>
      <c r="P8" s="146"/>
      <c r="Q8" s="146">
        <f>80/100</f>
        <v>0.8</v>
      </c>
      <c r="R8" s="146"/>
      <c r="S8" s="147"/>
      <c r="T8" s="116">
        <f>+Q8</f>
        <v>0.8</v>
      </c>
      <c r="U8" s="24" t="s">
        <v>166</v>
      </c>
      <c r="V8" s="13">
        <f t="shared" si="0"/>
        <v>4</v>
      </c>
      <c r="W8" s="82" t="s">
        <v>363</v>
      </c>
      <c r="X8" s="90" t="s">
        <v>324</v>
      </c>
    </row>
    <row r="9" spans="1:24" ht="114" customHeight="1" x14ac:dyDescent="0.25">
      <c r="A9" s="14">
        <v>5</v>
      </c>
      <c r="B9" s="76" t="s">
        <v>20</v>
      </c>
      <c r="C9" s="76" t="s">
        <v>223</v>
      </c>
      <c r="D9" s="73" t="s">
        <v>202</v>
      </c>
      <c r="E9" s="73" t="s">
        <v>75</v>
      </c>
      <c r="F9" s="73" t="s">
        <v>106</v>
      </c>
      <c r="G9" s="11" t="s">
        <v>132</v>
      </c>
      <c r="H9" s="153">
        <f>13597.964845/32813.137301</f>
        <v>0.41440611789917431</v>
      </c>
      <c r="I9" s="146"/>
      <c r="J9" s="146"/>
      <c r="K9" s="146">
        <f>22104.228937/30067.480731</f>
        <v>0.73515400690721078</v>
      </c>
      <c r="L9" s="146"/>
      <c r="M9" s="146"/>
      <c r="N9" s="146">
        <f>37685.120574/45933.009525</f>
        <v>0.82043656541792864</v>
      </c>
      <c r="O9" s="146"/>
      <c r="P9" s="146"/>
      <c r="Q9" s="146">
        <f>46074.24/47734.66</f>
        <v>0.96521563157672008</v>
      </c>
      <c r="R9" s="146"/>
      <c r="S9" s="147"/>
      <c r="T9" s="115">
        <f>+Q9</f>
        <v>0.96521563157672008</v>
      </c>
      <c r="U9" s="24" t="s">
        <v>167</v>
      </c>
      <c r="V9" s="13">
        <f t="shared" si="0"/>
        <v>5</v>
      </c>
      <c r="W9" s="82" t="s">
        <v>364</v>
      </c>
      <c r="X9" s="90" t="s">
        <v>325</v>
      </c>
    </row>
    <row r="10" spans="1:24" ht="89.25" customHeight="1" x14ac:dyDescent="0.25">
      <c r="A10" s="14">
        <v>6</v>
      </c>
      <c r="B10" s="76" t="s">
        <v>65</v>
      </c>
      <c r="C10" s="78" t="s">
        <v>224</v>
      </c>
      <c r="D10" s="73" t="s">
        <v>203</v>
      </c>
      <c r="E10" s="1" t="s">
        <v>76</v>
      </c>
      <c r="F10" s="1" t="s">
        <v>107</v>
      </c>
      <c r="G10" s="10" t="s">
        <v>133</v>
      </c>
      <c r="H10" s="71">
        <f>1265485/1500000</f>
        <v>0.84365666666666672</v>
      </c>
      <c r="I10" s="69">
        <f>1285917/1500000</f>
        <v>0.85727799999999998</v>
      </c>
      <c r="J10" s="69">
        <f>1309779/1500000</f>
        <v>0.87318600000000002</v>
      </c>
      <c r="K10" s="69">
        <f>1327805/1500000</f>
        <v>0.88520333333333334</v>
      </c>
      <c r="L10" s="69">
        <f>1353647/1500000</f>
        <v>0.90243133333333336</v>
      </c>
      <c r="M10" s="69">
        <f>1387899/1500000</f>
        <v>0.92526600000000003</v>
      </c>
      <c r="N10" s="69">
        <f>1413030/1500000</f>
        <v>0.94201999999999997</v>
      </c>
      <c r="O10" s="69">
        <f>1434003/1500000</f>
        <v>0.95600200000000002</v>
      </c>
      <c r="P10" s="69">
        <f>1456219/1500000</f>
        <v>0.97081266666666666</v>
      </c>
      <c r="Q10" s="69">
        <f>1489118/1500000</f>
        <v>0.99274533333333337</v>
      </c>
      <c r="R10" s="69">
        <f>1568789/1500000</f>
        <v>1.0458593333333333</v>
      </c>
      <c r="S10" s="105">
        <f>1600566/1500000</f>
        <v>1.0670440000000001</v>
      </c>
      <c r="T10" s="117">
        <f>+S10</f>
        <v>1.0670440000000001</v>
      </c>
      <c r="U10" s="24" t="s">
        <v>168</v>
      </c>
      <c r="V10" s="13">
        <f t="shared" si="0"/>
        <v>6</v>
      </c>
      <c r="W10" s="82" t="s">
        <v>365</v>
      </c>
      <c r="X10" s="90" t="s">
        <v>315</v>
      </c>
    </row>
    <row r="11" spans="1:24" ht="96" customHeight="1" x14ac:dyDescent="0.25">
      <c r="A11" s="14">
        <v>7</v>
      </c>
      <c r="B11" s="76" t="s">
        <v>65</v>
      </c>
      <c r="C11" s="78" t="s">
        <v>225</v>
      </c>
      <c r="D11" s="73" t="s">
        <v>203</v>
      </c>
      <c r="E11" s="1" t="s">
        <v>77</v>
      </c>
      <c r="F11" s="1" t="s">
        <v>28</v>
      </c>
      <c r="G11" s="10" t="s">
        <v>29</v>
      </c>
      <c r="H11" s="71">
        <f>25/25</f>
        <v>1</v>
      </c>
      <c r="I11" s="69">
        <f>52/52</f>
        <v>1</v>
      </c>
      <c r="J11" s="69">
        <f>59/59</f>
        <v>1</v>
      </c>
      <c r="K11" s="69">
        <f>49/49</f>
        <v>1</v>
      </c>
      <c r="L11" s="69">
        <f>72/72</f>
        <v>1</v>
      </c>
      <c r="M11" s="69">
        <f>48/48</f>
        <v>1</v>
      </c>
      <c r="N11" s="69">
        <f>49/49</f>
        <v>1</v>
      </c>
      <c r="O11" s="69">
        <f>41/41</f>
        <v>1</v>
      </c>
      <c r="P11" s="69">
        <f>54/54</f>
        <v>1</v>
      </c>
      <c r="Q11" s="69">
        <f>50/50</f>
        <v>1</v>
      </c>
      <c r="R11" s="69">
        <f>38/38</f>
        <v>1</v>
      </c>
      <c r="S11" s="105">
        <f>50/50</f>
        <v>1</v>
      </c>
      <c r="T11" s="115">
        <f>587/587</f>
        <v>1</v>
      </c>
      <c r="U11" s="24" t="s">
        <v>169</v>
      </c>
      <c r="V11" s="13">
        <f t="shared" si="0"/>
        <v>7</v>
      </c>
      <c r="W11" s="82" t="s">
        <v>366</v>
      </c>
      <c r="X11" s="90" t="s">
        <v>316</v>
      </c>
    </row>
    <row r="12" spans="1:24" ht="160.5" customHeight="1" x14ac:dyDescent="0.25">
      <c r="A12" s="14">
        <v>8</v>
      </c>
      <c r="B12" s="76" t="s">
        <v>66</v>
      </c>
      <c r="C12" s="79" t="s">
        <v>226</v>
      </c>
      <c r="D12" s="73" t="s">
        <v>204</v>
      </c>
      <c r="E12" s="1" t="s">
        <v>78</v>
      </c>
      <c r="F12" s="1" t="s">
        <v>108</v>
      </c>
      <c r="G12" s="10" t="s">
        <v>134</v>
      </c>
      <c r="H12" s="151">
        <f>48/180</f>
        <v>0.26666666666666666</v>
      </c>
      <c r="I12" s="145"/>
      <c r="J12" s="145"/>
      <c r="K12" s="145">
        <f>133/180</f>
        <v>0.73888888888888893</v>
      </c>
      <c r="L12" s="145"/>
      <c r="M12" s="145"/>
      <c r="N12" s="145">
        <f>253/180</f>
        <v>1.4055555555555554</v>
      </c>
      <c r="O12" s="145"/>
      <c r="P12" s="145"/>
      <c r="Q12" s="145">
        <f>327/180</f>
        <v>1.8166666666666667</v>
      </c>
      <c r="R12" s="145"/>
      <c r="S12" s="148"/>
      <c r="T12" s="118">
        <f>+Q12</f>
        <v>1.8166666666666667</v>
      </c>
      <c r="U12" s="24" t="s">
        <v>170</v>
      </c>
      <c r="V12" s="13">
        <f t="shared" si="0"/>
        <v>8</v>
      </c>
      <c r="W12" s="82" t="s">
        <v>367</v>
      </c>
      <c r="X12" s="91" t="s">
        <v>350</v>
      </c>
    </row>
    <row r="13" spans="1:24" ht="147" customHeight="1" x14ac:dyDescent="0.25">
      <c r="A13" s="14">
        <v>9</v>
      </c>
      <c r="B13" s="76" t="s">
        <v>66</v>
      </c>
      <c r="C13" s="79" t="s">
        <v>227</v>
      </c>
      <c r="D13" s="73" t="s">
        <v>204</v>
      </c>
      <c r="E13" s="1" t="s">
        <v>79</v>
      </c>
      <c r="F13" s="1" t="s">
        <v>109</v>
      </c>
      <c r="G13" s="10" t="s">
        <v>135</v>
      </c>
      <c r="H13" s="151">
        <f>48/41</f>
        <v>1.1707317073170731</v>
      </c>
      <c r="I13" s="145"/>
      <c r="J13" s="145"/>
      <c r="K13" s="145">
        <f>133/132</f>
        <v>1.0075757575757576</v>
      </c>
      <c r="L13" s="145"/>
      <c r="M13" s="145"/>
      <c r="N13" s="145">
        <f>253/237</f>
        <v>1.0675105485232068</v>
      </c>
      <c r="O13" s="145"/>
      <c r="P13" s="145"/>
      <c r="Q13" s="145">
        <f>327/323</f>
        <v>1.0123839009287925</v>
      </c>
      <c r="R13" s="145"/>
      <c r="S13" s="148"/>
      <c r="T13" s="120">
        <f>+Q13</f>
        <v>1.0123839009287925</v>
      </c>
      <c r="U13" s="24" t="s">
        <v>171</v>
      </c>
      <c r="V13" s="13">
        <f t="shared" si="0"/>
        <v>9</v>
      </c>
      <c r="W13" s="82" t="s">
        <v>368</v>
      </c>
      <c r="X13" s="91" t="s">
        <v>313</v>
      </c>
    </row>
    <row r="14" spans="1:24" ht="111.75" customHeight="1" x14ac:dyDescent="0.25">
      <c r="A14" s="14">
        <v>10</v>
      </c>
      <c r="B14" s="76" t="s">
        <v>67</v>
      </c>
      <c r="C14" s="79" t="s">
        <v>228</v>
      </c>
      <c r="D14" s="3" t="s">
        <v>204</v>
      </c>
      <c r="E14" s="1" t="s">
        <v>80</v>
      </c>
      <c r="F14" s="1" t="s">
        <v>110</v>
      </c>
      <c r="G14" s="10" t="s">
        <v>136</v>
      </c>
      <c r="H14" s="70">
        <f>3230/4000</f>
        <v>0.8075</v>
      </c>
      <c r="I14" s="67">
        <f>3730/4000</f>
        <v>0.9325</v>
      </c>
      <c r="J14" s="67">
        <f>3230/4000</f>
        <v>0.8075</v>
      </c>
      <c r="K14" s="67">
        <f>3340/4000</f>
        <v>0.83499999999999996</v>
      </c>
      <c r="L14" s="67">
        <f>4710/4000</f>
        <v>1.1775</v>
      </c>
      <c r="M14" s="67">
        <f>5070/4000</f>
        <v>1.2675000000000001</v>
      </c>
      <c r="N14" s="67">
        <f>4950/4000</f>
        <v>1.2375</v>
      </c>
      <c r="O14" s="67">
        <f>8470/4000</f>
        <v>2.1175000000000002</v>
      </c>
      <c r="P14" s="67">
        <f>6650/4000</f>
        <v>1.6625000000000001</v>
      </c>
      <c r="Q14" s="67">
        <f>4710/4000</f>
        <v>1.1775</v>
      </c>
      <c r="R14" s="67">
        <f>10030/4000</f>
        <v>2.5074999999999998</v>
      </c>
      <c r="S14" s="106">
        <f>6480/4000</f>
        <v>1.62</v>
      </c>
      <c r="T14" s="120">
        <f>+AVERAGE(H14:S14)</f>
        <v>1.3458333333333332</v>
      </c>
      <c r="U14" s="25" t="s">
        <v>172</v>
      </c>
      <c r="V14" s="13">
        <f t="shared" si="0"/>
        <v>10</v>
      </c>
      <c r="W14" s="83" t="s">
        <v>352</v>
      </c>
      <c r="X14" s="90" t="s">
        <v>317</v>
      </c>
    </row>
    <row r="15" spans="1:24" ht="108.75" customHeight="1" x14ac:dyDescent="0.25">
      <c r="A15" s="14">
        <v>11</v>
      </c>
      <c r="B15" s="76" t="s">
        <v>67</v>
      </c>
      <c r="C15" s="79" t="s">
        <v>229</v>
      </c>
      <c r="D15" s="3" t="s">
        <v>204</v>
      </c>
      <c r="E15" s="1" t="s">
        <v>30</v>
      </c>
      <c r="F15" s="1" t="s">
        <v>31</v>
      </c>
      <c r="G15" s="10" t="s">
        <v>32</v>
      </c>
      <c r="H15" s="70">
        <f>37/26</f>
        <v>1.4230769230769231</v>
      </c>
      <c r="I15" s="67">
        <f>44/26</f>
        <v>1.6923076923076923</v>
      </c>
      <c r="J15" s="67">
        <f>30/28</f>
        <v>1.0714285714285714</v>
      </c>
      <c r="K15" s="69">
        <f>41/26</f>
        <v>1.5769230769230769</v>
      </c>
      <c r="L15" s="69">
        <f>20/26</f>
        <v>0.76923076923076927</v>
      </c>
      <c r="M15" s="6">
        <f>59/28</f>
        <v>2.1071428571428572</v>
      </c>
      <c r="N15" s="69">
        <f>37/26</f>
        <v>1.4230769230769231</v>
      </c>
      <c r="O15" s="69">
        <f>29/26</f>
        <v>1.1153846153846154</v>
      </c>
      <c r="P15" s="6">
        <f>37/28</f>
        <v>1.3214285714285714</v>
      </c>
      <c r="Q15" s="69">
        <f>25/26</f>
        <v>0.96153846153846156</v>
      </c>
      <c r="R15" s="69">
        <f>28/26</f>
        <v>1.0769230769230769</v>
      </c>
      <c r="S15" s="105">
        <f>38/28</f>
        <v>1.3571428571428572</v>
      </c>
      <c r="T15" s="120">
        <f>425/320</f>
        <v>1.328125</v>
      </c>
      <c r="U15" s="24" t="s">
        <v>172</v>
      </c>
      <c r="V15" s="13">
        <f t="shared" si="0"/>
        <v>11</v>
      </c>
      <c r="W15" s="82" t="s">
        <v>353</v>
      </c>
      <c r="X15" s="90" t="s">
        <v>282</v>
      </c>
    </row>
    <row r="16" spans="1:24" ht="117.75" customHeight="1" x14ac:dyDescent="0.25">
      <c r="A16" s="14">
        <v>12</v>
      </c>
      <c r="B16" s="76" t="s">
        <v>67</v>
      </c>
      <c r="C16" s="79" t="s">
        <v>230</v>
      </c>
      <c r="D16" s="73" t="s">
        <v>204</v>
      </c>
      <c r="E16" s="73" t="s">
        <v>33</v>
      </c>
      <c r="F16" s="73" t="s">
        <v>31</v>
      </c>
      <c r="G16" s="10" t="s">
        <v>34</v>
      </c>
      <c r="H16" s="70">
        <f>98/15</f>
        <v>6.5333333333333332</v>
      </c>
      <c r="I16" s="67">
        <f>59/15</f>
        <v>3.9333333333333331</v>
      </c>
      <c r="J16" s="67">
        <f>86/15</f>
        <v>5.7333333333333334</v>
      </c>
      <c r="K16" s="67">
        <f>54/15</f>
        <v>3.6</v>
      </c>
      <c r="L16" s="67">
        <f>70/15</f>
        <v>4.666666666666667</v>
      </c>
      <c r="M16" s="67">
        <f>41/15</f>
        <v>2.7333333333333334</v>
      </c>
      <c r="N16" s="67">
        <f>48/15</f>
        <v>3.2</v>
      </c>
      <c r="O16" s="67">
        <f>63/15</f>
        <v>4.2</v>
      </c>
      <c r="P16" s="67">
        <f>79/15</f>
        <v>5.2666666666666666</v>
      </c>
      <c r="Q16" s="67">
        <f>65/15</f>
        <v>4.333333333333333</v>
      </c>
      <c r="R16" s="67">
        <f>39/15</f>
        <v>2.6</v>
      </c>
      <c r="S16" s="106">
        <f>20/15</f>
        <v>1.3333333333333333</v>
      </c>
      <c r="T16" s="115">
        <f>722/180</f>
        <v>4.0111111111111111</v>
      </c>
      <c r="U16" s="24" t="s">
        <v>172</v>
      </c>
      <c r="V16" s="13">
        <f t="shared" si="0"/>
        <v>12</v>
      </c>
      <c r="W16" s="82" t="s">
        <v>354</v>
      </c>
      <c r="X16" s="90" t="s">
        <v>283</v>
      </c>
    </row>
    <row r="17" spans="1:24" ht="114.75" customHeight="1" x14ac:dyDescent="0.25">
      <c r="A17" s="14">
        <v>13</v>
      </c>
      <c r="B17" s="76" t="s">
        <v>67</v>
      </c>
      <c r="C17" s="79" t="s">
        <v>231</v>
      </c>
      <c r="D17" s="3" t="s">
        <v>204</v>
      </c>
      <c r="E17" s="1" t="s">
        <v>35</v>
      </c>
      <c r="F17" s="1" t="s">
        <v>311</v>
      </c>
      <c r="G17" s="10" t="s">
        <v>36</v>
      </c>
      <c r="H17" s="71">
        <f>539/544</f>
        <v>0.9908088235294118</v>
      </c>
      <c r="I17" s="69">
        <f>464/487</f>
        <v>0.95277207392197127</v>
      </c>
      <c r="J17" s="69">
        <f>522/536</f>
        <v>0.97388059701492535</v>
      </c>
      <c r="K17" s="69">
        <f>530/543</f>
        <v>0.97605893186003678</v>
      </c>
      <c r="L17" s="69">
        <f>527/548</f>
        <v>0.96167883211678828</v>
      </c>
      <c r="M17" s="69">
        <f>481/498</f>
        <v>0.96586345381526106</v>
      </c>
      <c r="N17" s="69">
        <f>517/542</f>
        <v>0.95387453874538741</v>
      </c>
      <c r="O17" s="69">
        <f>528/546</f>
        <v>0.96703296703296704</v>
      </c>
      <c r="P17" s="69">
        <f>519/528</f>
        <v>0.98295454545454541</v>
      </c>
      <c r="Q17" s="67">
        <f>542/553</f>
        <v>0.98010849909584086</v>
      </c>
      <c r="R17" s="67">
        <f>513/537</f>
        <v>0.95530726256983245</v>
      </c>
      <c r="S17" s="106">
        <f>537/542</f>
        <v>0.9907749077490775</v>
      </c>
      <c r="T17" s="120">
        <f>6219/6404</f>
        <v>0.97111180512179884</v>
      </c>
      <c r="U17" s="24" t="s">
        <v>172</v>
      </c>
      <c r="V17" s="13">
        <f t="shared" si="0"/>
        <v>13</v>
      </c>
      <c r="W17" s="82" t="s">
        <v>218</v>
      </c>
      <c r="X17" s="90" t="s">
        <v>284</v>
      </c>
    </row>
    <row r="18" spans="1:24" ht="111.75" customHeight="1" x14ac:dyDescent="0.25">
      <c r="A18" s="14">
        <v>14</v>
      </c>
      <c r="B18" s="76" t="s">
        <v>67</v>
      </c>
      <c r="C18" s="79" t="s">
        <v>232</v>
      </c>
      <c r="D18" s="3" t="s">
        <v>204</v>
      </c>
      <c r="E18" s="3" t="s">
        <v>37</v>
      </c>
      <c r="F18" s="1" t="s">
        <v>312</v>
      </c>
      <c r="G18" s="10" t="s">
        <v>38</v>
      </c>
      <c r="H18" s="72">
        <f>42/26</f>
        <v>1.6153846153846154</v>
      </c>
      <c r="I18" s="68">
        <f>16/26</f>
        <v>0.61538461538461542</v>
      </c>
      <c r="J18" s="68">
        <f>24/28</f>
        <v>0.8571428571428571</v>
      </c>
      <c r="K18" s="68">
        <f>26/26</f>
        <v>1</v>
      </c>
      <c r="L18" s="68">
        <f>50/26</f>
        <v>1.9230769230769231</v>
      </c>
      <c r="M18" s="68">
        <f>18/28</f>
        <v>0.6428571428571429</v>
      </c>
      <c r="N18" s="68">
        <f>12/26</f>
        <v>0.46153846153846156</v>
      </c>
      <c r="O18" s="68">
        <f>6/26</f>
        <v>0.23076923076923078</v>
      </c>
      <c r="P18" s="68">
        <f>16/28</f>
        <v>0.5714285714285714</v>
      </c>
      <c r="Q18" s="68">
        <f>20/26</f>
        <v>0.76923076923076927</v>
      </c>
      <c r="R18" s="68">
        <f>22/26</f>
        <v>0.84615384615384615</v>
      </c>
      <c r="S18" s="107">
        <f>19/28</f>
        <v>0.6785714285714286</v>
      </c>
      <c r="T18" s="121">
        <f>271/320</f>
        <v>0.84687500000000004</v>
      </c>
      <c r="U18" s="26" t="s">
        <v>172</v>
      </c>
      <c r="V18" s="13">
        <f t="shared" si="0"/>
        <v>14</v>
      </c>
      <c r="W18" s="84" t="s">
        <v>355</v>
      </c>
      <c r="X18" s="90" t="s">
        <v>318</v>
      </c>
    </row>
    <row r="19" spans="1:24" ht="108.75" customHeight="1" x14ac:dyDescent="0.25">
      <c r="A19" s="14">
        <v>15</v>
      </c>
      <c r="B19" s="76" t="s">
        <v>67</v>
      </c>
      <c r="C19" s="80" t="s">
        <v>233</v>
      </c>
      <c r="D19" s="3" t="s">
        <v>204</v>
      </c>
      <c r="E19" s="1" t="s">
        <v>212</v>
      </c>
      <c r="F19" s="1" t="s">
        <v>214</v>
      </c>
      <c r="G19" s="10" t="s">
        <v>216</v>
      </c>
      <c r="H19" s="153">
        <f>(3060410-2720460)/2720460</f>
        <v>0.1249604846239239</v>
      </c>
      <c r="I19" s="146"/>
      <c r="J19" s="146"/>
      <c r="K19" s="146">
        <f>(4419700-3590360)/3590360</f>
        <v>0.2309907641573547</v>
      </c>
      <c r="L19" s="146"/>
      <c r="M19" s="146"/>
      <c r="N19" s="146">
        <f>(5776160-4563300)/4563300</f>
        <v>0.26578572524269717</v>
      </c>
      <c r="O19" s="146"/>
      <c r="P19" s="146"/>
      <c r="Q19" s="146">
        <f>(6213610-5061980)/5061980</f>
        <v>0.22750583763665602</v>
      </c>
      <c r="R19" s="146"/>
      <c r="S19" s="147"/>
      <c r="T19" s="121">
        <f>+Q19</f>
        <v>0.22750583763665602</v>
      </c>
      <c r="U19" s="26" t="s">
        <v>172</v>
      </c>
      <c r="V19" s="13">
        <f t="shared" si="0"/>
        <v>15</v>
      </c>
      <c r="W19" s="84" t="s">
        <v>356</v>
      </c>
      <c r="X19" s="90" t="s">
        <v>319</v>
      </c>
    </row>
    <row r="20" spans="1:24" ht="165.75" customHeight="1" x14ac:dyDescent="0.25">
      <c r="A20" s="14">
        <v>16</v>
      </c>
      <c r="B20" s="76" t="s">
        <v>67</v>
      </c>
      <c r="C20" s="80" t="s">
        <v>234</v>
      </c>
      <c r="D20" s="3" t="s">
        <v>204</v>
      </c>
      <c r="E20" s="1" t="s">
        <v>213</v>
      </c>
      <c r="F20" s="1" t="s">
        <v>215</v>
      </c>
      <c r="G20" s="10" t="s">
        <v>217</v>
      </c>
      <c r="H20" s="155" t="s">
        <v>211</v>
      </c>
      <c r="I20" s="156"/>
      <c r="J20" s="156"/>
      <c r="K20" s="156"/>
      <c r="L20" s="156"/>
      <c r="M20" s="156"/>
      <c r="N20" s="156">
        <f>(216216-138260)/138260</f>
        <v>0.56383625054245623</v>
      </c>
      <c r="O20" s="156"/>
      <c r="P20" s="156"/>
      <c r="Q20" s="156"/>
      <c r="R20" s="156"/>
      <c r="S20" s="179"/>
      <c r="T20" s="122">
        <f>N20</f>
        <v>0.56383625054245623</v>
      </c>
      <c r="U20" s="26" t="s">
        <v>172</v>
      </c>
      <c r="V20" s="13">
        <f t="shared" si="0"/>
        <v>16</v>
      </c>
      <c r="W20" s="84" t="s">
        <v>357</v>
      </c>
      <c r="X20" s="90" t="s">
        <v>320</v>
      </c>
    </row>
    <row r="21" spans="1:24" ht="141" customHeight="1" x14ac:dyDescent="0.25">
      <c r="A21" s="14">
        <v>17</v>
      </c>
      <c r="B21" s="76" t="s">
        <v>68</v>
      </c>
      <c r="C21" s="76" t="s">
        <v>235</v>
      </c>
      <c r="D21" s="73" t="s">
        <v>205</v>
      </c>
      <c r="E21" s="2" t="s">
        <v>81</v>
      </c>
      <c r="F21" s="73" t="s">
        <v>111</v>
      </c>
      <c r="G21" s="11" t="s">
        <v>137</v>
      </c>
      <c r="H21" s="151">
        <f>56974197/120000000</f>
        <v>0.474784975</v>
      </c>
      <c r="I21" s="145"/>
      <c r="J21" s="145"/>
      <c r="K21" s="145">
        <f>85717546/120000000</f>
        <v>0.71431288333333331</v>
      </c>
      <c r="L21" s="145"/>
      <c r="M21" s="145"/>
      <c r="N21" s="145">
        <f>91993237/456662678</f>
        <v>0.20144680402369119</v>
      </c>
      <c r="O21" s="145"/>
      <c r="P21" s="145"/>
      <c r="Q21" s="145">
        <f>428655915/456662678</f>
        <v>0.9386707862296555</v>
      </c>
      <c r="R21" s="145"/>
      <c r="S21" s="148"/>
      <c r="T21" s="120">
        <f>+Q21</f>
        <v>0.9386707862296555</v>
      </c>
      <c r="U21" s="27" t="s">
        <v>173</v>
      </c>
      <c r="V21" s="13">
        <f t="shared" si="0"/>
        <v>17</v>
      </c>
      <c r="W21" s="82" t="s">
        <v>369</v>
      </c>
      <c r="X21" s="90" t="s">
        <v>326</v>
      </c>
    </row>
    <row r="22" spans="1:24" ht="146.25" customHeight="1" x14ac:dyDescent="0.25">
      <c r="A22" s="14">
        <v>18</v>
      </c>
      <c r="B22" s="76" t="s">
        <v>68</v>
      </c>
      <c r="C22" s="80" t="s">
        <v>236</v>
      </c>
      <c r="D22" s="73" t="s">
        <v>206</v>
      </c>
      <c r="E22" s="2" t="s">
        <v>82</v>
      </c>
      <c r="F22" s="73" t="s">
        <v>39</v>
      </c>
      <c r="G22" s="11" t="s">
        <v>138</v>
      </c>
      <c r="H22" s="151">
        <f>216/864</f>
        <v>0.25</v>
      </c>
      <c r="I22" s="145"/>
      <c r="J22" s="145"/>
      <c r="K22" s="145">
        <f>544/864</f>
        <v>0.62962962962962965</v>
      </c>
      <c r="L22" s="145"/>
      <c r="M22" s="145"/>
      <c r="N22" s="145">
        <f>1041/1166</f>
        <v>0.89279588336192106</v>
      </c>
      <c r="O22" s="145"/>
      <c r="P22" s="145"/>
      <c r="Q22" s="145">
        <f>1537/1537</f>
        <v>1</v>
      </c>
      <c r="R22" s="145"/>
      <c r="S22" s="148"/>
      <c r="T22" s="120">
        <f>+Q22</f>
        <v>1</v>
      </c>
      <c r="U22" s="27" t="s">
        <v>174</v>
      </c>
      <c r="V22" s="13">
        <f t="shared" si="0"/>
        <v>18</v>
      </c>
      <c r="W22" s="82" t="s">
        <v>370</v>
      </c>
      <c r="X22" s="90" t="s">
        <v>327</v>
      </c>
    </row>
    <row r="23" spans="1:24" ht="163.5" customHeight="1" x14ac:dyDescent="0.25">
      <c r="A23" s="14">
        <v>19</v>
      </c>
      <c r="B23" s="76" t="s">
        <v>40</v>
      </c>
      <c r="C23" s="76" t="s">
        <v>237</v>
      </c>
      <c r="D23" s="73" t="s">
        <v>202</v>
      </c>
      <c r="E23" s="2" t="s">
        <v>83</v>
      </c>
      <c r="F23" s="2" t="s">
        <v>112</v>
      </c>
      <c r="G23" s="10" t="s">
        <v>346</v>
      </c>
      <c r="H23" s="151">
        <f>2179336651/1864000000</f>
        <v>1.1691720230686695</v>
      </c>
      <c r="I23" s="145"/>
      <c r="J23" s="145"/>
      <c r="K23" s="146">
        <f>4803080221/3728000000</f>
        <v>1.288379887607296</v>
      </c>
      <c r="L23" s="146"/>
      <c r="M23" s="146"/>
      <c r="N23" s="146">
        <f>8189674610/5592000000</f>
        <v>1.4645340861945637</v>
      </c>
      <c r="O23" s="146"/>
      <c r="P23" s="146"/>
      <c r="Q23" s="146">
        <f>18435194589/7456000000</f>
        <v>2.4725314631169528</v>
      </c>
      <c r="R23" s="146"/>
      <c r="S23" s="147"/>
      <c r="T23" s="120">
        <f>+Q23</f>
        <v>2.4725314631169528</v>
      </c>
      <c r="U23" s="27" t="s">
        <v>175</v>
      </c>
      <c r="V23" s="13">
        <f t="shared" si="0"/>
        <v>19</v>
      </c>
      <c r="W23" s="82" t="s">
        <v>371</v>
      </c>
      <c r="X23" s="91" t="s">
        <v>347</v>
      </c>
    </row>
    <row r="24" spans="1:24" ht="281.25" customHeight="1" x14ac:dyDescent="0.25">
      <c r="A24" s="14">
        <v>20</v>
      </c>
      <c r="B24" s="76" t="s">
        <v>40</v>
      </c>
      <c r="C24" s="76" t="s">
        <v>238</v>
      </c>
      <c r="D24" s="73" t="s">
        <v>202</v>
      </c>
      <c r="E24" s="2" t="s">
        <v>207</v>
      </c>
      <c r="F24" s="73" t="s">
        <v>208</v>
      </c>
      <c r="G24" s="11" t="s">
        <v>209</v>
      </c>
      <c r="H24" s="151">
        <f>360996208/391500000</f>
        <v>0.92208482247765011</v>
      </c>
      <c r="I24" s="145"/>
      <c r="J24" s="145"/>
      <c r="K24" s="145">
        <f>767497469/913500000</f>
        <v>0.84017237985769022</v>
      </c>
      <c r="L24" s="145"/>
      <c r="M24" s="145"/>
      <c r="N24" s="145">
        <f>1245931000/522000000</f>
        <v>2.3868409961685826</v>
      </c>
      <c r="O24" s="145"/>
      <c r="P24" s="145"/>
      <c r="Q24" s="145">
        <f>1871932923/783000000</f>
        <v>2.390718931034483</v>
      </c>
      <c r="R24" s="145"/>
      <c r="S24" s="148"/>
      <c r="T24" s="120">
        <f>4246357600/2610000000</f>
        <v>1.6269569348659003</v>
      </c>
      <c r="U24" s="27" t="s">
        <v>210</v>
      </c>
      <c r="V24" s="13">
        <f t="shared" si="0"/>
        <v>20</v>
      </c>
      <c r="W24" s="82" t="s">
        <v>372</v>
      </c>
      <c r="X24" s="90" t="s">
        <v>284</v>
      </c>
    </row>
    <row r="25" spans="1:24" ht="182.25" customHeight="1" x14ac:dyDescent="0.25">
      <c r="A25" s="14">
        <v>21</v>
      </c>
      <c r="B25" s="76" t="s">
        <v>40</v>
      </c>
      <c r="C25" s="76" t="s">
        <v>239</v>
      </c>
      <c r="D25" s="73" t="s">
        <v>202</v>
      </c>
      <c r="E25" s="2" t="s">
        <v>84</v>
      </c>
      <c r="F25" s="3" t="s">
        <v>113</v>
      </c>
      <c r="G25" s="11" t="s">
        <v>305</v>
      </c>
      <c r="H25" s="151">
        <f>-202983946/139800000</f>
        <v>-1.4519595565092991</v>
      </c>
      <c r="I25" s="145"/>
      <c r="J25" s="145"/>
      <c r="K25" s="146">
        <f>-1078875953/279600000</f>
        <v>-3.8586407474964233</v>
      </c>
      <c r="L25" s="146"/>
      <c r="M25" s="146"/>
      <c r="N25" s="146">
        <f>-4231513858/419400000</f>
        <v>-10.08944649022413</v>
      </c>
      <c r="O25" s="146"/>
      <c r="P25" s="146"/>
      <c r="Q25" s="146">
        <f>1818218737/559200000</f>
        <v>3.2514641219599429</v>
      </c>
      <c r="R25" s="146"/>
      <c r="S25" s="147"/>
      <c r="T25" s="120">
        <f>+Q25</f>
        <v>3.2514641219599429</v>
      </c>
      <c r="U25" s="27" t="s">
        <v>175</v>
      </c>
      <c r="V25" s="13">
        <f t="shared" si="0"/>
        <v>21</v>
      </c>
      <c r="W25" s="82" t="s">
        <v>373</v>
      </c>
      <c r="X25" s="91" t="s">
        <v>347</v>
      </c>
    </row>
    <row r="26" spans="1:24" ht="237.75" customHeight="1" x14ac:dyDescent="0.25">
      <c r="A26" s="14">
        <v>22</v>
      </c>
      <c r="B26" s="76" t="s">
        <v>40</v>
      </c>
      <c r="C26" s="76" t="s">
        <v>240</v>
      </c>
      <c r="D26" s="73" t="s">
        <v>202</v>
      </c>
      <c r="E26" s="2" t="s">
        <v>85</v>
      </c>
      <c r="F26" s="3" t="s">
        <v>41</v>
      </c>
      <c r="G26" s="11" t="s">
        <v>139</v>
      </c>
      <c r="H26" s="151">
        <f>13/13</f>
        <v>1</v>
      </c>
      <c r="I26" s="145"/>
      <c r="J26" s="145"/>
      <c r="K26" s="145">
        <f>16/17</f>
        <v>0.94117647058823528</v>
      </c>
      <c r="L26" s="145"/>
      <c r="M26" s="145"/>
      <c r="N26" s="145">
        <f>22/22</f>
        <v>1</v>
      </c>
      <c r="O26" s="145"/>
      <c r="P26" s="145"/>
      <c r="Q26" s="145">
        <f>9/9</f>
        <v>1</v>
      </c>
      <c r="R26" s="145"/>
      <c r="S26" s="148"/>
      <c r="T26" s="120">
        <f>60/61</f>
        <v>0.98360655737704916</v>
      </c>
      <c r="U26" s="27" t="s">
        <v>176</v>
      </c>
      <c r="V26" s="13">
        <f t="shared" si="0"/>
        <v>22</v>
      </c>
      <c r="W26" s="82" t="s">
        <v>374</v>
      </c>
      <c r="X26" s="90" t="s">
        <v>284</v>
      </c>
    </row>
    <row r="27" spans="1:24" ht="131.25" customHeight="1" x14ac:dyDescent="0.25">
      <c r="A27" s="14">
        <v>23</v>
      </c>
      <c r="B27" s="76" t="s">
        <v>59</v>
      </c>
      <c r="C27" s="76" t="s">
        <v>241</v>
      </c>
      <c r="D27" s="73" t="s">
        <v>201</v>
      </c>
      <c r="E27" s="2" t="s">
        <v>86</v>
      </c>
      <c r="F27" s="3" t="s">
        <v>114</v>
      </c>
      <c r="G27" s="11" t="s">
        <v>140</v>
      </c>
      <c r="H27" s="153">
        <f>2/1</f>
        <v>2</v>
      </c>
      <c r="I27" s="146"/>
      <c r="J27" s="146"/>
      <c r="K27" s="146">
        <f>4/3</f>
        <v>1.3333333333333333</v>
      </c>
      <c r="L27" s="146"/>
      <c r="M27" s="146"/>
      <c r="N27" s="146">
        <f>2/1</f>
        <v>2</v>
      </c>
      <c r="O27" s="146"/>
      <c r="P27" s="146"/>
      <c r="Q27" s="146">
        <f>1/2</f>
        <v>0.5</v>
      </c>
      <c r="R27" s="146"/>
      <c r="S27" s="147"/>
      <c r="T27" s="120">
        <f>9/7</f>
        <v>1.2857142857142858</v>
      </c>
      <c r="U27" s="27" t="s">
        <v>177</v>
      </c>
      <c r="V27" s="13">
        <f t="shared" si="0"/>
        <v>23</v>
      </c>
      <c r="W27" s="82" t="s">
        <v>375</v>
      </c>
      <c r="X27" s="90" t="s">
        <v>285</v>
      </c>
    </row>
    <row r="28" spans="1:24" ht="123.75" customHeight="1" x14ac:dyDescent="0.25">
      <c r="A28" s="14">
        <v>24</v>
      </c>
      <c r="B28" s="76" t="s">
        <v>59</v>
      </c>
      <c r="C28" s="76" t="s">
        <v>242</v>
      </c>
      <c r="D28" s="73" t="s">
        <v>201</v>
      </c>
      <c r="E28" s="2" t="s">
        <v>87</v>
      </c>
      <c r="F28" s="3" t="s">
        <v>272</v>
      </c>
      <c r="G28" s="11" t="s">
        <v>141</v>
      </c>
      <c r="H28" s="153">
        <f>12.5/100</f>
        <v>0.125</v>
      </c>
      <c r="I28" s="146"/>
      <c r="J28" s="146"/>
      <c r="K28" s="146">
        <f>56.65/100</f>
        <v>0.5665</v>
      </c>
      <c r="L28" s="146"/>
      <c r="M28" s="146"/>
      <c r="N28" s="146">
        <f>84.38/100</f>
        <v>0.84379999999999999</v>
      </c>
      <c r="O28" s="146"/>
      <c r="P28" s="146"/>
      <c r="Q28" s="146">
        <f>100/100</f>
        <v>1</v>
      </c>
      <c r="R28" s="146"/>
      <c r="S28" s="147"/>
      <c r="T28" s="120">
        <f>+Q28</f>
        <v>1</v>
      </c>
      <c r="U28" s="27" t="s">
        <v>178</v>
      </c>
      <c r="V28" s="13">
        <f t="shared" si="0"/>
        <v>24</v>
      </c>
      <c r="W28" s="82" t="s">
        <v>376</v>
      </c>
      <c r="X28" s="90" t="s">
        <v>286</v>
      </c>
    </row>
    <row r="29" spans="1:24" ht="137.25" customHeight="1" x14ac:dyDescent="0.25">
      <c r="A29" s="14">
        <v>25</v>
      </c>
      <c r="B29" s="76" t="s">
        <v>59</v>
      </c>
      <c r="C29" s="76" t="s">
        <v>243</v>
      </c>
      <c r="D29" s="73" t="s">
        <v>201</v>
      </c>
      <c r="E29" s="73" t="s">
        <v>88</v>
      </c>
      <c r="F29" s="73" t="s">
        <v>273</v>
      </c>
      <c r="G29" s="10" t="s">
        <v>142</v>
      </c>
      <c r="H29" s="153">
        <f>20/100</f>
        <v>0.2</v>
      </c>
      <c r="I29" s="146"/>
      <c r="J29" s="146"/>
      <c r="K29" s="146">
        <f>50.4/100</f>
        <v>0.504</v>
      </c>
      <c r="L29" s="146"/>
      <c r="M29" s="146"/>
      <c r="N29" s="146">
        <f>67.5/100</f>
        <v>0.67500000000000004</v>
      </c>
      <c r="O29" s="146"/>
      <c r="P29" s="146"/>
      <c r="Q29" s="146">
        <f>100/100</f>
        <v>1</v>
      </c>
      <c r="R29" s="146"/>
      <c r="S29" s="147"/>
      <c r="T29" s="120">
        <f>+Q29</f>
        <v>1</v>
      </c>
      <c r="U29" s="26" t="s">
        <v>179</v>
      </c>
      <c r="V29" s="13">
        <f t="shared" si="0"/>
        <v>25</v>
      </c>
      <c r="W29" s="82" t="s">
        <v>377</v>
      </c>
      <c r="X29" s="90" t="s">
        <v>287</v>
      </c>
    </row>
    <row r="30" spans="1:24" ht="163.5" customHeight="1" x14ac:dyDescent="0.25">
      <c r="A30" s="14">
        <v>26</v>
      </c>
      <c r="B30" s="76" t="s">
        <v>59</v>
      </c>
      <c r="C30" s="76" t="s">
        <v>244</v>
      </c>
      <c r="D30" s="73" t="s">
        <v>201</v>
      </c>
      <c r="E30" s="73" t="s">
        <v>89</v>
      </c>
      <c r="F30" s="73" t="s">
        <v>274</v>
      </c>
      <c r="G30" s="10" t="s">
        <v>143</v>
      </c>
      <c r="H30" s="153">
        <f>25/100</f>
        <v>0.25</v>
      </c>
      <c r="I30" s="146"/>
      <c r="J30" s="146"/>
      <c r="K30" s="146">
        <f>52/100</f>
        <v>0.52</v>
      </c>
      <c r="L30" s="146"/>
      <c r="M30" s="146"/>
      <c r="N30" s="146">
        <f>84.95/100</f>
        <v>0.84950000000000003</v>
      </c>
      <c r="O30" s="146"/>
      <c r="P30" s="146"/>
      <c r="Q30" s="146">
        <f>99.5/100</f>
        <v>0.995</v>
      </c>
      <c r="R30" s="146"/>
      <c r="S30" s="147"/>
      <c r="T30" s="120">
        <f>+Q30</f>
        <v>0.995</v>
      </c>
      <c r="U30" s="26" t="s">
        <v>180</v>
      </c>
      <c r="V30" s="13">
        <f t="shared" si="0"/>
        <v>26</v>
      </c>
      <c r="W30" s="82" t="s">
        <v>378</v>
      </c>
      <c r="X30" s="90" t="s">
        <v>288</v>
      </c>
    </row>
    <row r="31" spans="1:24" ht="156.75" customHeight="1" x14ac:dyDescent="0.25">
      <c r="A31" s="14">
        <v>27</v>
      </c>
      <c r="B31" s="76" t="s">
        <v>59</v>
      </c>
      <c r="C31" s="76" t="s">
        <v>245</v>
      </c>
      <c r="D31" s="73" t="s">
        <v>201</v>
      </c>
      <c r="E31" s="3" t="s">
        <v>90</v>
      </c>
      <c r="F31" s="3" t="s">
        <v>275</v>
      </c>
      <c r="G31" s="10" t="s">
        <v>144</v>
      </c>
      <c r="H31" s="153">
        <f>12/100</f>
        <v>0.12</v>
      </c>
      <c r="I31" s="146"/>
      <c r="J31" s="146"/>
      <c r="K31" s="146">
        <f>70/100</f>
        <v>0.7</v>
      </c>
      <c r="L31" s="146"/>
      <c r="M31" s="146"/>
      <c r="N31" s="146">
        <f>76/100</f>
        <v>0.76</v>
      </c>
      <c r="O31" s="146"/>
      <c r="P31" s="146"/>
      <c r="Q31" s="146">
        <f>90/100</f>
        <v>0.9</v>
      </c>
      <c r="R31" s="146"/>
      <c r="S31" s="147"/>
      <c r="T31" s="119">
        <f>+Q31</f>
        <v>0.9</v>
      </c>
      <c r="U31" s="26" t="s">
        <v>181</v>
      </c>
      <c r="V31" s="13">
        <f t="shared" si="0"/>
        <v>27</v>
      </c>
      <c r="W31" s="82" t="s">
        <v>379</v>
      </c>
      <c r="X31" s="90" t="s">
        <v>289</v>
      </c>
    </row>
    <row r="32" spans="1:24" ht="146.25" customHeight="1" x14ac:dyDescent="0.25">
      <c r="A32" s="14">
        <v>28</v>
      </c>
      <c r="B32" s="76" t="s">
        <v>69</v>
      </c>
      <c r="C32" s="76" t="s">
        <v>246</v>
      </c>
      <c r="D32" s="73" t="s">
        <v>201</v>
      </c>
      <c r="E32" s="3" t="s">
        <v>91</v>
      </c>
      <c r="F32" s="73" t="s">
        <v>115</v>
      </c>
      <c r="G32" s="10" t="s">
        <v>145</v>
      </c>
      <c r="H32" s="93">
        <f>4/4</f>
        <v>1</v>
      </c>
      <c r="I32" s="94">
        <f>4/4</f>
        <v>1</v>
      </c>
      <c r="J32" s="94">
        <f>5/5</f>
        <v>1</v>
      </c>
      <c r="K32" s="94">
        <f>2/2</f>
        <v>1</v>
      </c>
      <c r="L32" s="94">
        <f>6/6</f>
        <v>1</v>
      </c>
      <c r="M32" s="94">
        <f>3/3</f>
        <v>1</v>
      </c>
      <c r="N32" s="94">
        <f>2/2</f>
        <v>1</v>
      </c>
      <c r="O32" s="94">
        <f>4/4</f>
        <v>1</v>
      </c>
      <c r="P32" s="94">
        <f>3/3</f>
        <v>1</v>
      </c>
      <c r="Q32" s="94">
        <f t="shared" ref="Q32:S32" si="1">4/4</f>
        <v>1</v>
      </c>
      <c r="R32" s="94">
        <f t="shared" si="1"/>
        <v>1</v>
      </c>
      <c r="S32" s="108">
        <f t="shared" si="1"/>
        <v>1</v>
      </c>
      <c r="T32" s="120">
        <f>45/45</f>
        <v>1</v>
      </c>
      <c r="U32" s="26" t="s">
        <v>182</v>
      </c>
      <c r="V32" s="13">
        <f t="shared" si="0"/>
        <v>28</v>
      </c>
      <c r="W32" s="82" t="s">
        <v>380</v>
      </c>
      <c r="X32" s="90" t="s">
        <v>290</v>
      </c>
    </row>
    <row r="33" spans="1:24" ht="123" customHeight="1" x14ac:dyDescent="0.25">
      <c r="A33" s="14">
        <v>29</v>
      </c>
      <c r="B33" s="76" t="s">
        <v>69</v>
      </c>
      <c r="C33" s="76" t="s">
        <v>247</v>
      </c>
      <c r="D33" s="73" t="s">
        <v>201</v>
      </c>
      <c r="E33" s="73" t="s">
        <v>92</v>
      </c>
      <c r="F33" s="73" t="s">
        <v>62</v>
      </c>
      <c r="G33" s="10" t="s">
        <v>146</v>
      </c>
      <c r="H33" s="93" t="s">
        <v>211</v>
      </c>
      <c r="I33" s="94">
        <f>2/2</f>
        <v>1</v>
      </c>
      <c r="J33" s="94">
        <f>1/1</f>
        <v>1</v>
      </c>
      <c r="K33" s="94" t="s">
        <v>211</v>
      </c>
      <c r="L33" s="94" t="s">
        <v>211</v>
      </c>
      <c r="M33" s="94" t="s">
        <v>211</v>
      </c>
      <c r="N33" s="94">
        <f>12/12</f>
        <v>1</v>
      </c>
      <c r="O33" s="94">
        <f>12/16</f>
        <v>0.75</v>
      </c>
      <c r="P33" s="94">
        <f>2/10</f>
        <v>0.2</v>
      </c>
      <c r="Q33" s="94">
        <f>8/8</f>
        <v>1</v>
      </c>
      <c r="R33" s="94">
        <f>34/22</f>
        <v>1.5454545454545454</v>
      </c>
      <c r="S33" s="108">
        <f>4/4</f>
        <v>1</v>
      </c>
      <c r="T33" s="120">
        <f>75/75</f>
        <v>1</v>
      </c>
      <c r="U33" s="26" t="s">
        <v>183</v>
      </c>
      <c r="V33" s="13">
        <f t="shared" si="0"/>
        <v>29</v>
      </c>
      <c r="W33" s="82" t="s">
        <v>381</v>
      </c>
      <c r="X33" s="90" t="s">
        <v>291</v>
      </c>
    </row>
    <row r="34" spans="1:24" ht="120.75" customHeight="1" x14ac:dyDescent="0.25">
      <c r="A34" s="14">
        <v>30</v>
      </c>
      <c r="B34" s="76" t="s">
        <v>70</v>
      </c>
      <c r="C34" s="76" t="s">
        <v>248</v>
      </c>
      <c r="D34" s="73" t="s">
        <v>201</v>
      </c>
      <c r="E34" s="73" t="s">
        <v>93</v>
      </c>
      <c r="F34" s="73" t="s">
        <v>60</v>
      </c>
      <c r="G34" s="10" t="s">
        <v>147</v>
      </c>
      <c r="H34" s="153">
        <f>1650/1650</f>
        <v>1</v>
      </c>
      <c r="I34" s="146"/>
      <c r="J34" s="146"/>
      <c r="K34" s="146">
        <f>1793/1793</f>
        <v>1</v>
      </c>
      <c r="L34" s="146"/>
      <c r="M34" s="146"/>
      <c r="N34" s="146">
        <f>1750/1750</f>
        <v>1</v>
      </c>
      <c r="O34" s="146"/>
      <c r="P34" s="146"/>
      <c r="Q34" s="146">
        <f>1780/1780</f>
        <v>1</v>
      </c>
      <c r="R34" s="146"/>
      <c r="S34" s="147"/>
      <c r="T34" s="120">
        <f>6973/6973</f>
        <v>1</v>
      </c>
      <c r="U34" s="26" t="s">
        <v>184</v>
      </c>
      <c r="V34" s="13">
        <f t="shared" si="0"/>
        <v>30</v>
      </c>
      <c r="W34" s="143" t="s">
        <v>382</v>
      </c>
      <c r="X34" s="90" t="s">
        <v>292</v>
      </c>
    </row>
    <row r="35" spans="1:24" ht="114" customHeight="1" x14ac:dyDescent="0.25">
      <c r="A35" s="14">
        <v>31</v>
      </c>
      <c r="B35" s="76" t="s">
        <v>70</v>
      </c>
      <c r="C35" s="76" t="s">
        <v>249</v>
      </c>
      <c r="D35" s="3" t="s">
        <v>201</v>
      </c>
      <c r="E35" s="1" t="s">
        <v>94</v>
      </c>
      <c r="F35" s="1" t="s">
        <v>60</v>
      </c>
      <c r="G35" s="10" t="s">
        <v>148</v>
      </c>
      <c r="H35" s="153">
        <f>5/5</f>
        <v>1</v>
      </c>
      <c r="I35" s="146"/>
      <c r="J35" s="146"/>
      <c r="K35" s="146">
        <f>9/10</f>
        <v>0.9</v>
      </c>
      <c r="L35" s="146"/>
      <c r="M35" s="146"/>
      <c r="N35" s="146">
        <f>4/4</f>
        <v>1</v>
      </c>
      <c r="O35" s="146"/>
      <c r="P35" s="146"/>
      <c r="Q35" s="146">
        <f>3/4</f>
        <v>0.75</v>
      </c>
      <c r="R35" s="146"/>
      <c r="S35" s="147"/>
      <c r="T35" s="119">
        <f>21/23</f>
        <v>0.91304347826086951</v>
      </c>
      <c r="U35" s="26" t="s">
        <v>61</v>
      </c>
      <c r="V35" s="13">
        <f t="shared" si="0"/>
        <v>31</v>
      </c>
      <c r="W35" s="82" t="s">
        <v>383</v>
      </c>
      <c r="X35" s="90" t="s">
        <v>293</v>
      </c>
    </row>
    <row r="36" spans="1:24" ht="120" customHeight="1" x14ac:dyDescent="0.25">
      <c r="A36" s="14">
        <v>32</v>
      </c>
      <c r="B36" s="76" t="s">
        <v>70</v>
      </c>
      <c r="C36" s="76" t="s">
        <v>250</v>
      </c>
      <c r="D36" s="73" t="s">
        <v>201</v>
      </c>
      <c r="E36" s="73" t="s">
        <v>95</v>
      </c>
      <c r="F36" s="73" t="s">
        <v>116</v>
      </c>
      <c r="G36" s="11" t="s">
        <v>149</v>
      </c>
      <c r="H36" s="154" t="e">
        <f>1/0</f>
        <v>#DIV/0!</v>
      </c>
      <c r="I36" s="150"/>
      <c r="J36" s="150"/>
      <c r="K36" s="146">
        <f>1/1</f>
        <v>1</v>
      </c>
      <c r="L36" s="146"/>
      <c r="M36" s="146"/>
      <c r="N36" s="150" t="s">
        <v>211</v>
      </c>
      <c r="O36" s="150"/>
      <c r="P36" s="150"/>
      <c r="Q36" s="146">
        <f>1/1</f>
        <v>1</v>
      </c>
      <c r="R36" s="146"/>
      <c r="S36" s="147"/>
      <c r="T36" s="120">
        <f>3/2</f>
        <v>1.5</v>
      </c>
      <c r="U36" s="27" t="s">
        <v>185</v>
      </c>
      <c r="V36" s="13">
        <f t="shared" si="0"/>
        <v>32</v>
      </c>
      <c r="W36" s="85" t="s">
        <v>384</v>
      </c>
      <c r="X36" s="90" t="s">
        <v>294</v>
      </c>
    </row>
    <row r="37" spans="1:24" ht="119.25" customHeight="1" x14ac:dyDescent="0.25">
      <c r="A37" s="14">
        <v>33</v>
      </c>
      <c r="B37" s="76" t="s">
        <v>70</v>
      </c>
      <c r="C37" s="76" t="s">
        <v>251</v>
      </c>
      <c r="D37" s="73" t="s">
        <v>201</v>
      </c>
      <c r="E37" s="1" t="s">
        <v>96</v>
      </c>
      <c r="F37" s="1" t="s">
        <v>276</v>
      </c>
      <c r="G37" s="10" t="s">
        <v>150</v>
      </c>
      <c r="H37" s="151">
        <f>27/100</f>
        <v>0.27</v>
      </c>
      <c r="I37" s="145"/>
      <c r="J37" s="145"/>
      <c r="K37" s="145">
        <f>60/100</f>
        <v>0.6</v>
      </c>
      <c r="L37" s="145"/>
      <c r="M37" s="145"/>
      <c r="N37" s="145">
        <f>80/100</f>
        <v>0.8</v>
      </c>
      <c r="O37" s="145"/>
      <c r="P37" s="145"/>
      <c r="Q37" s="145">
        <f>99.73/100</f>
        <v>0.99730000000000008</v>
      </c>
      <c r="R37" s="145"/>
      <c r="S37" s="148"/>
      <c r="T37" s="118">
        <f>+Q37</f>
        <v>0.99730000000000008</v>
      </c>
      <c r="U37" s="26" t="s">
        <v>186</v>
      </c>
      <c r="V37" s="13">
        <f t="shared" si="0"/>
        <v>33</v>
      </c>
      <c r="W37" s="86" t="s">
        <v>385</v>
      </c>
      <c r="X37" s="90" t="s">
        <v>295</v>
      </c>
    </row>
    <row r="38" spans="1:24" ht="123" customHeight="1" x14ac:dyDescent="0.25">
      <c r="A38" s="14">
        <v>34</v>
      </c>
      <c r="B38" s="76" t="s">
        <v>71</v>
      </c>
      <c r="C38" s="76" t="s">
        <v>252</v>
      </c>
      <c r="D38" s="73" t="s">
        <v>201</v>
      </c>
      <c r="E38" s="1" t="s">
        <v>97</v>
      </c>
      <c r="F38" s="1" t="s">
        <v>277</v>
      </c>
      <c r="G38" s="10" t="s">
        <v>151</v>
      </c>
      <c r="H38" s="153">
        <f>10/100</f>
        <v>0.1</v>
      </c>
      <c r="I38" s="146"/>
      <c r="J38" s="146"/>
      <c r="K38" s="145">
        <f>30/100</f>
        <v>0.3</v>
      </c>
      <c r="L38" s="145"/>
      <c r="M38" s="145"/>
      <c r="N38" s="145">
        <f>65/100</f>
        <v>0.65</v>
      </c>
      <c r="O38" s="145"/>
      <c r="P38" s="145"/>
      <c r="Q38" s="145">
        <f>80/100</f>
        <v>0.8</v>
      </c>
      <c r="R38" s="145"/>
      <c r="S38" s="148"/>
      <c r="T38" s="123">
        <f>+Q38</f>
        <v>0.8</v>
      </c>
      <c r="U38" s="26" t="s">
        <v>187</v>
      </c>
      <c r="V38" s="13">
        <f t="shared" si="0"/>
        <v>34</v>
      </c>
      <c r="W38" s="82" t="s">
        <v>386</v>
      </c>
      <c r="X38" s="90" t="s">
        <v>328</v>
      </c>
    </row>
    <row r="39" spans="1:24" ht="239.25" customHeight="1" x14ac:dyDescent="0.25">
      <c r="A39" s="14">
        <v>35</v>
      </c>
      <c r="B39" s="76" t="s">
        <v>71</v>
      </c>
      <c r="C39" s="76" t="s">
        <v>253</v>
      </c>
      <c r="D39" s="73" t="s">
        <v>201</v>
      </c>
      <c r="E39" s="1" t="s">
        <v>98</v>
      </c>
      <c r="F39" s="1" t="s">
        <v>278</v>
      </c>
      <c r="G39" s="10" t="s">
        <v>152</v>
      </c>
      <c r="H39" s="153">
        <f>10/100</f>
        <v>0.1</v>
      </c>
      <c r="I39" s="146"/>
      <c r="J39" s="146"/>
      <c r="K39" s="145">
        <f>31/100</f>
        <v>0.31</v>
      </c>
      <c r="L39" s="145"/>
      <c r="M39" s="145"/>
      <c r="N39" s="145">
        <f>65.09/100</f>
        <v>0.65090000000000003</v>
      </c>
      <c r="O39" s="145"/>
      <c r="P39" s="145"/>
      <c r="Q39" s="145">
        <f>92/100</f>
        <v>0.92</v>
      </c>
      <c r="R39" s="145"/>
      <c r="S39" s="148"/>
      <c r="T39" s="120">
        <f>+Q39</f>
        <v>0.92</v>
      </c>
      <c r="U39" s="26" t="s">
        <v>188</v>
      </c>
      <c r="V39" s="13">
        <f t="shared" si="0"/>
        <v>35</v>
      </c>
      <c r="W39" s="87" t="s">
        <v>387</v>
      </c>
      <c r="X39" s="90" t="s">
        <v>329</v>
      </c>
    </row>
    <row r="40" spans="1:24" ht="209.25" customHeight="1" x14ac:dyDescent="0.25">
      <c r="A40" s="14">
        <v>36</v>
      </c>
      <c r="B40" s="76" t="s">
        <v>72</v>
      </c>
      <c r="C40" s="76" t="s">
        <v>254</v>
      </c>
      <c r="D40" s="73" t="s">
        <v>201</v>
      </c>
      <c r="E40" s="1" t="s">
        <v>99</v>
      </c>
      <c r="F40" s="1" t="s">
        <v>117</v>
      </c>
      <c r="G40" s="10" t="s">
        <v>153</v>
      </c>
      <c r="H40" s="93">
        <f>5/8</f>
        <v>0.625</v>
      </c>
      <c r="I40" s="94">
        <f>1/1</f>
        <v>1</v>
      </c>
      <c r="J40" s="94">
        <f>3/3</f>
        <v>1</v>
      </c>
      <c r="K40" s="94">
        <f>4/4</f>
        <v>1</v>
      </c>
      <c r="L40" s="94">
        <f>5/5</f>
        <v>1</v>
      </c>
      <c r="M40" s="94">
        <f>7/7</f>
        <v>1</v>
      </c>
      <c r="N40" s="94">
        <f>6/6</f>
        <v>1</v>
      </c>
      <c r="O40" s="94">
        <f>8/8</f>
        <v>1</v>
      </c>
      <c r="P40" s="94">
        <f>2/2</f>
        <v>1</v>
      </c>
      <c r="Q40" s="94">
        <f>5/5</f>
        <v>1</v>
      </c>
      <c r="R40" s="94">
        <f>3/3</f>
        <v>1</v>
      </c>
      <c r="S40" s="108">
        <f>7/4</f>
        <v>1.75</v>
      </c>
      <c r="T40" s="120">
        <f>56/56</f>
        <v>1</v>
      </c>
      <c r="U40" s="26" t="s">
        <v>189</v>
      </c>
      <c r="V40" s="13">
        <f t="shared" si="0"/>
        <v>36</v>
      </c>
      <c r="W40" s="87" t="s">
        <v>388</v>
      </c>
      <c r="X40" s="90" t="s">
        <v>296</v>
      </c>
    </row>
    <row r="41" spans="1:24" ht="117" customHeight="1" x14ac:dyDescent="0.25">
      <c r="A41" s="14">
        <v>37</v>
      </c>
      <c r="B41" s="76" t="s">
        <v>42</v>
      </c>
      <c r="C41" s="76" t="s">
        <v>255</v>
      </c>
      <c r="D41" s="73" t="s">
        <v>202</v>
      </c>
      <c r="E41" s="1" t="s">
        <v>43</v>
      </c>
      <c r="F41" s="1" t="s">
        <v>118</v>
      </c>
      <c r="G41" s="20" t="s">
        <v>306</v>
      </c>
      <c r="H41" s="93">
        <f>16335184/370000000</f>
        <v>4.4149145945945947E-2</v>
      </c>
      <c r="I41" s="94">
        <f>33217870/370000000</f>
        <v>8.977802702702703E-2</v>
      </c>
      <c r="J41" s="94">
        <f>39040743/370000000</f>
        <v>0.10551552162162162</v>
      </c>
      <c r="K41" s="94">
        <f>41936497/370000000</f>
        <v>0.11334188378378378</v>
      </c>
      <c r="L41" s="94">
        <f>43593582/370000000</f>
        <v>0.11782049189189189</v>
      </c>
      <c r="M41" s="94">
        <f>115087787/370000000</f>
        <v>0.31104807297297299</v>
      </c>
      <c r="N41" s="94">
        <f>244975380/370000000</f>
        <v>0.66209562162162161</v>
      </c>
      <c r="O41" s="94">
        <f>369532775/370000000</f>
        <v>0.99873722972972978</v>
      </c>
      <c r="P41" s="94">
        <f>385385244/370000000</f>
        <v>1.0415817405405405</v>
      </c>
      <c r="Q41" s="94">
        <f>400259317.68/370000000</f>
        <v>1.0817819396756756</v>
      </c>
      <c r="R41" s="94">
        <f>438192726/370000000</f>
        <v>1.184304664864865</v>
      </c>
      <c r="S41" s="108">
        <f>455630666/370000000</f>
        <v>1.2314342324324323</v>
      </c>
      <c r="T41" s="120">
        <f>+S41</f>
        <v>1.2314342324324323</v>
      </c>
      <c r="U41" s="26" t="s">
        <v>190</v>
      </c>
      <c r="V41" s="13">
        <f t="shared" si="0"/>
        <v>37</v>
      </c>
      <c r="W41" s="87" t="s">
        <v>358</v>
      </c>
      <c r="X41" s="91" t="s">
        <v>297</v>
      </c>
    </row>
    <row r="42" spans="1:24" s="4" customFormat="1" ht="179.25" customHeight="1" x14ac:dyDescent="0.25">
      <c r="A42" s="14">
        <v>38</v>
      </c>
      <c r="B42" s="76" t="s">
        <v>42</v>
      </c>
      <c r="C42" s="76" t="s">
        <v>256</v>
      </c>
      <c r="D42" s="3" t="s">
        <v>202</v>
      </c>
      <c r="E42" s="3" t="s">
        <v>44</v>
      </c>
      <c r="F42" s="3" t="s">
        <v>119</v>
      </c>
      <c r="G42" s="11" t="s">
        <v>154</v>
      </c>
      <c r="H42" s="28">
        <f>10736823578/50261000000</f>
        <v>0.21362136801894113</v>
      </c>
      <c r="I42" s="8">
        <f>19978262761/50261000000</f>
        <v>0.39749035556395612</v>
      </c>
      <c r="J42" s="8">
        <f>20998673851/50261000000</f>
        <v>0.4177925996498279</v>
      </c>
      <c r="K42" s="8">
        <f>28144073570/50261000000</f>
        <v>0.55995848809215898</v>
      </c>
      <c r="L42" s="8">
        <f>33519327073/53440688382</f>
        <v>0.62722483725134881</v>
      </c>
      <c r="M42" s="8">
        <f>35803760603/53440688382</f>
        <v>0.66997192002974826</v>
      </c>
      <c r="N42" s="8">
        <f>44523393442/54945688382</f>
        <v>0.81031641886910444</v>
      </c>
      <c r="O42" s="8">
        <f>46581156502/60177554707</f>
        <v>0.77406196926412441</v>
      </c>
      <c r="P42" s="8">
        <f>49844756547/63662059936</f>
        <v>0.78295858784823091</v>
      </c>
      <c r="Q42" s="8">
        <f>52229530699/63662059936</f>
        <v>0.82041848396842298</v>
      </c>
      <c r="R42" s="8">
        <f>54895943319/63662059936</f>
        <v>0.86230234105191306</v>
      </c>
      <c r="S42" s="109">
        <f>64012047905/63662059936</f>
        <v>1.0054975910197039</v>
      </c>
      <c r="T42" s="124">
        <f>+S42</f>
        <v>1.0054975910197039</v>
      </c>
      <c r="U42" s="26" t="s">
        <v>191</v>
      </c>
      <c r="V42" s="13">
        <f t="shared" si="0"/>
        <v>38</v>
      </c>
      <c r="W42" s="87" t="s">
        <v>389</v>
      </c>
      <c r="X42" s="91" t="s">
        <v>297</v>
      </c>
    </row>
    <row r="43" spans="1:24" ht="180.75" customHeight="1" x14ac:dyDescent="0.25">
      <c r="A43" s="14">
        <v>39</v>
      </c>
      <c r="B43" s="76" t="s">
        <v>42</v>
      </c>
      <c r="C43" s="76" t="s">
        <v>257</v>
      </c>
      <c r="D43" s="73" t="s">
        <v>202</v>
      </c>
      <c r="E43" s="1" t="s">
        <v>45</v>
      </c>
      <c r="F43" s="1" t="s">
        <v>120</v>
      </c>
      <c r="G43" s="11" t="s">
        <v>155</v>
      </c>
      <c r="H43" s="28">
        <f>19253568347/50261000000</f>
        <v>0.38307173249636894</v>
      </c>
      <c r="I43" s="8">
        <f>21873452749/50261000000</f>
        <v>0.43519732494379337</v>
      </c>
      <c r="J43" s="8">
        <f>24432449139/50261000000</f>
        <v>0.4861114808499632</v>
      </c>
      <c r="K43" s="8">
        <f>26060394836/50261000000</f>
        <v>0.51850131983048486</v>
      </c>
      <c r="L43" s="8">
        <f>29544749072/53440688382</f>
        <v>0.55285120694574219</v>
      </c>
      <c r="M43" s="8">
        <f>34019250703/53440688382</f>
        <v>0.63657957509504004</v>
      </c>
      <c r="N43" s="6">
        <f>37431277146/54945688382</f>
        <v>0.68124139033013453</v>
      </c>
      <c r="O43" s="6">
        <f>40911523071/60177554707</f>
        <v>0.67984688427762041</v>
      </c>
      <c r="P43" s="6">
        <f>49718992923/63622059936</f>
        <v>0.78147411405751943</v>
      </c>
      <c r="Q43" s="6">
        <f>55013489831/63622059936</f>
        <v>0.86469205628268386</v>
      </c>
      <c r="R43" s="6">
        <f>56605997366/63622059936</f>
        <v>0.88972280091122891</v>
      </c>
      <c r="S43" s="110">
        <f>59217381101/63622059936</f>
        <v>0.93076805687475628</v>
      </c>
      <c r="T43" s="125">
        <f>+S43</f>
        <v>0.93076805687475628</v>
      </c>
      <c r="U43" s="26" t="s">
        <v>192</v>
      </c>
      <c r="V43" s="13">
        <f t="shared" si="0"/>
        <v>39</v>
      </c>
      <c r="W43" s="87" t="s">
        <v>390</v>
      </c>
      <c r="X43" s="91" t="s">
        <v>297</v>
      </c>
    </row>
    <row r="44" spans="1:24" ht="176.25" customHeight="1" x14ac:dyDescent="0.25">
      <c r="A44" s="14">
        <v>40</v>
      </c>
      <c r="B44" s="76" t="s">
        <v>42</v>
      </c>
      <c r="C44" s="76" t="s">
        <v>258</v>
      </c>
      <c r="D44" s="73" t="s">
        <v>202</v>
      </c>
      <c r="E44" s="1" t="s">
        <v>46</v>
      </c>
      <c r="F44" s="1" t="s">
        <v>47</v>
      </c>
      <c r="G44" s="20" t="s">
        <v>307</v>
      </c>
      <c r="H44" s="151">
        <f>6178278681/7557182482</f>
        <v>0.81753731575433986</v>
      </c>
      <c r="I44" s="145"/>
      <c r="J44" s="145"/>
      <c r="K44" s="145">
        <f>10664741520/11382665244</f>
        <v>0.93692832841777285</v>
      </c>
      <c r="L44" s="145"/>
      <c r="M44" s="145"/>
      <c r="N44" s="145">
        <f>19182277270/20792940380</f>
        <v>0.92253798257656527</v>
      </c>
      <c r="O44" s="145"/>
      <c r="P44" s="145"/>
      <c r="Q44" s="145">
        <f>32145108476/33673633838</f>
        <v>0.95460765032507156</v>
      </c>
      <c r="R44" s="145"/>
      <c r="S44" s="148"/>
      <c r="T44" s="120">
        <f>+Q44</f>
        <v>0.95460765032507156</v>
      </c>
      <c r="U44" s="26" t="s">
        <v>193</v>
      </c>
      <c r="V44" s="13">
        <f t="shared" si="0"/>
        <v>40</v>
      </c>
      <c r="W44" s="87" t="s">
        <v>391</v>
      </c>
      <c r="X44" s="91" t="s">
        <v>297</v>
      </c>
    </row>
    <row r="45" spans="1:24" ht="120" customHeight="1" x14ac:dyDescent="0.25">
      <c r="A45" s="14">
        <v>41</v>
      </c>
      <c r="B45" s="76" t="s">
        <v>42</v>
      </c>
      <c r="C45" s="76" t="s">
        <v>259</v>
      </c>
      <c r="D45" s="73" t="s">
        <v>202</v>
      </c>
      <c r="E45" s="1" t="s">
        <v>48</v>
      </c>
      <c r="F45" s="1" t="s">
        <v>121</v>
      </c>
      <c r="G45" s="20" t="s">
        <v>308</v>
      </c>
      <c r="H45" s="95">
        <f>7039857473/29947020782</f>
        <v>0.23507705571939186</v>
      </c>
      <c r="I45" s="6">
        <f>8405364833/37661323700</f>
        <v>0.22318293695555899</v>
      </c>
      <c r="J45" s="6">
        <f>7617680792/35044732938</f>
        <v>0.2173702052595736</v>
      </c>
      <c r="K45" s="6">
        <f>8524980664/34673096466</f>
        <v>0.24586730153620656</v>
      </c>
      <c r="L45" s="6">
        <f>8708243386/33969399149</f>
        <v>0.25635553186569554</v>
      </c>
      <c r="M45" s="6">
        <f>11068931454/33543634782</f>
        <v>0.32998604730635062</v>
      </c>
      <c r="N45" s="6">
        <f>13785216331/36210332368</f>
        <v>0.38069842029901801</v>
      </c>
      <c r="O45" s="6">
        <f>13842249111/34675392210</f>
        <v>0.39919517066076754</v>
      </c>
      <c r="P45" s="6">
        <f>13217690519/33825433649</f>
        <v>0.39076189402795025</v>
      </c>
      <c r="Q45" s="94">
        <f>11720906515/29700117281</f>
        <v>0.3946417586201989</v>
      </c>
      <c r="R45" s="94">
        <f>9566038753/29806824572</f>
        <v>0.32093451383567262</v>
      </c>
      <c r="S45" s="108">
        <f>4997826139/22978279056</f>
        <v>0.2175021953045255</v>
      </c>
      <c r="T45" s="120">
        <f>+S45</f>
        <v>0.2175021953045255</v>
      </c>
      <c r="U45" s="26" t="s">
        <v>49</v>
      </c>
      <c r="V45" s="13">
        <f t="shared" si="0"/>
        <v>41</v>
      </c>
      <c r="W45" s="87" t="s">
        <v>359</v>
      </c>
      <c r="X45" s="91" t="s">
        <v>297</v>
      </c>
    </row>
    <row r="46" spans="1:24" ht="117.75" customHeight="1" x14ac:dyDescent="0.25">
      <c r="A46" s="14">
        <v>42</v>
      </c>
      <c r="B46" s="76" t="s">
        <v>42</v>
      </c>
      <c r="C46" s="76" t="s">
        <v>260</v>
      </c>
      <c r="D46" s="73" t="s">
        <v>202</v>
      </c>
      <c r="E46" s="1" t="s">
        <v>50</v>
      </c>
      <c r="F46" s="1" t="s">
        <v>51</v>
      </c>
      <c r="G46" s="20" t="s">
        <v>309</v>
      </c>
      <c r="H46" s="96">
        <f>19002789489-7039857473</f>
        <v>11962932016</v>
      </c>
      <c r="I46" s="97">
        <f>26810413088-8405364833</f>
        <v>18405048255</v>
      </c>
      <c r="J46" s="97">
        <f>23997057389-7617680792</f>
        <v>16379376597</v>
      </c>
      <c r="K46" s="97">
        <f>23821326564-8524980664</f>
        <v>15296345900</v>
      </c>
      <c r="L46" s="97">
        <f>23270094904-8708243386</f>
        <v>14561851518</v>
      </c>
      <c r="M46" s="97">
        <f>23510351044-11068931454</f>
        <v>12441419590</v>
      </c>
      <c r="N46" s="97">
        <f>25999528227-13785216331</f>
        <v>12214311896</v>
      </c>
      <c r="O46" s="97">
        <f>23755519044-13842249111</f>
        <v>9913269933</v>
      </c>
      <c r="P46" s="97">
        <f>23246256903-13217690519</f>
        <v>10028566384</v>
      </c>
      <c r="Q46" s="97">
        <f>19037835635-11720906515</f>
        <v>7316929120</v>
      </c>
      <c r="R46" s="97">
        <f>18927920311-9566038753</f>
        <v>9361881558</v>
      </c>
      <c r="S46" s="111">
        <f>11861320253-4997826139</f>
        <v>6863494114</v>
      </c>
      <c r="T46" s="126">
        <f>+S46</f>
        <v>6863494114</v>
      </c>
      <c r="U46" s="26" t="s">
        <v>49</v>
      </c>
      <c r="V46" s="13">
        <f t="shared" si="0"/>
        <v>42</v>
      </c>
      <c r="W46" s="144" t="s">
        <v>392</v>
      </c>
      <c r="X46" s="91" t="s">
        <v>297</v>
      </c>
    </row>
    <row r="47" spans="1:24" ht="114.75" customHeight="1" x14ac:dyDescent="0.25">
      <c r="A47" s="14">
        <v>43</v>
      </c>
      <c r="B47" s="76" t="s">
        <v>42</v>
      </c>
      <c r="C47" s="76" t="s">
        <v>261</v>
      </c>
      <c r="D47" s="73" t="s">
        <v>202</v>
      </c>
      <c r="E47" s="1" t="s">
        <v>52</v>
      </c>
      <c r="F47" s="1" t="s">
        <v>53</v>
      </c>
      <c r="G47" s="21" t="s">
        <v>310</v>
      </c>
      <c r="H47" s="98">
        <f>19002789489/7039857473</f>
        <v>2.6993145190625651</v>
      </c>
      <c r="I47" s="99">
        <f>26810413088/8405364833</f>
        <v>3.189678689822077</v>
      </c>
      <c r="J47" s="99">
        <f>23997057389/7617680792</f>
        <v>3.1501789119598489</v>
      </c>
      <c r="K47" s="99">
        <f>23821326564/8524980664</f>
        <v>2.7942968439324076</v>
      </c>
      <c r="L47" s="99">
        <f>23270094904/8708243386</f>
        <v>2.6721916088623203</v>
      </c>
      <c r="M47" s="99">
        <f>23510351044/11068931454</f>
        <v>2.1239946368539506</v>
      </c>
      <c r="N47" s="99">
        <f>25999528227/13785216331</f>
        <v>1.8860442667506514</v>
      </c>
      <c r="O47" s="99">
        <f>23755519044/13842249111</f>
        <v>1.7161603474627716</v>
      </c>
      <c r="P47" s="99">
        <f>23246256903/13217690519</f>
        <v>1.7587230439072743</v>
      </c>
      <c r="Q47" s="99">
        <f>19037835635/11720906515</f>
        <v>1.6242630730512229</v>
      </c>
      <c r="R47" s="99">
        <f>18927920311/9566038753</f>
        <v>1.978658125868874</v>
      </c>
      <c r="S47" s="112">
        <f>11861320253/4997826139</f>
        <v>2.373295893676945</v>
      </c>
      <c r="T47" s="127">
        <f>+S47</f>
        <v>2.373295893676945</v>
      </c>
      <c r="U47" s="100" t="s">
        <v>49</v>
      </c>
      <c r="V47" s="13">
        <f t="shared" si="0"/>
        <v>43</v>
      </c>
      <c r="W47" s="87" t="s">
        <v>393</v>
      </c>
      <c r="X47" s="91" t="s">
        <v>297</v>
      </c>
    </row>
    <row r="48" spans="1:24" ht="121.5" customHeight="1" x14ac:dyDescent="0.25">
      <c r="A48" s="14">
        <v>44</v>
      </c>
      <c r="B48" s="76" t="s">
        <v>54</v>
      </c>
      <c r="C48" s="76" t="s">
        <v>262</v>
      </c>
      <c r="D48" s="73" t="s">
        <v>201</v>
      </c>
      <c r="E48" s="1" t="s">
        <v>100</v>
      </c>
      <c r="F48" s="1" t="s">
        <v>122</v>
      </c>
      <c r="G48" s="10" t="s">
        <v>156</v>
      </c>
      <c r="H48" s="151">
        <f>10/10</f>
        <v>1</v>
      </c>
      <c r="I48" s="145"/>
      <c r="J48" s="145"/>
      <c r="K48" s="145">
        <f>8/8</f>
        <v>1</v>
      </c>
      <c r="L48" s="145"/>
      <c r="M48" s="145"/>
      <c r="N48" s="145">
        <f>9/9</f>
        <v>1</v>
      </c>
      <c r="O48" s="145"/>
      <c r="P48" s="145"/>
      <c r="Q48" s="145">
        <f>6/6</f>
        <v>1</v>
      </c>
      <c r="R48" s="145"/>
      <c r="S48" s="148"/>
      <c r="T48" s="120">
        <f>33/33</f>
        <v>1</v>
      </c>
      <c r="U48" s="26" t="s">
        <v>194</v>
      </c>
      <c r="V48" s="13">
        <f t="shared" si="0"/>
        <v>44</v>
      </c>
      <c r="W48" s="82" t="s">
        <v>360</v>
      </c>
      <c r="X48" s="90" t="s">
        <v>298</v>
      </c>
    </row>
    <row r="49" spans="1:24" ht="120.75" customHeight="1" x14ac:dyDescent="0.25">
      <c r="A49" s="14">
        <v>45</v>
      </c>
      <c r="B49" s="76" t="s">
        <v>54</v>
      </c>
      <c r="C49" s="76" t="s">
        <v>263</v>
      </c>
      <c r="D49" s="73" t="s">
        <v>201</v>
      </c>
      <c r="E49" s="1" t="s">
        <v>55</v>
      </c>
      <c r="F49" s="1" t="s">
        <v>123</v>
      </c>
      <c r="G49" s="3" t="s">
        <v>402</v>
      </c>
      <c r="H49" s="151">
        <f>410/412</f>
        <v>0.99514563106796117</v>
      </c>
      <c r="I49" s="145"/>
      <c r="J49" s="145"/>
      <c r="K49" s="145">
        <f>153/153</f>
        <v>1</v>
      </c>
      <c r="L49" s="145"/>
      <c r="M49" s="145"/>
      <c r="N49" s="145">
        <f>178/194</f>
        <v>0.91752577319587625</v>
      </c>
      <c r="O49" s="145"/>
      <c r="P49" s="145"/>
      <c r="Q49" s="145">
        <f>158/177</f>
        <v>0.89265536723163841</v>
      </c>
      <c r="R49" s="145"/>
      <c r="S49" s="145"/>
      <c r="T49" s="120">
        <f>899/936</f>
        <v>0.9604700854700855</v>
      </c>
      <c r="U49" s="26" t="s">
        <v>195</v>
      </c>
      <c r="V49" s="13">
        <f t="shared" si="0"/>
        <v>45</v>
      </c>
      <c r="W49" s="82" t="s">
        <v>398</v>
      </c>
      <c r="X49" s="91" t="s">
        <v>299</v>
      </c>
    </row>
    <row r="50" spans="1:24" ht="119.25" customHeight="1" x14ac:dyDescent="0.25">
      <c r="A50" s="14">
        <v>46</v>
      </c>
      <c r="B50" s="76" t="s">
        <v>54</v>
      </c>
      <c r="C50" s="76" t="s">
        <v>264</v>
      </c>
      <c r="D50" s="73" t="s">
        <v>201</v>
      </c>
      <c r="E50" s="1" t="s">
        <v>56</v>
      </c>
      <c r="F50" s="1" t="s">
        <v>57</v>
      </c>
      <c r="G50" s="10" t="s">
        <v>157</v>
      </c>
      <c r="H50" s="151">
        <f>2/2</f>
        <v>1</v>
      </c>
      <c r="I50" s="145"/>
      <c r="J50" s="145"/>
      <c r="K50" s="145">
        <f>5/5</f>
        <v>1</v>
      </c>
      <c r="L50" s="145"/>
      <c r="M50" s="145"/>
      <c r="N50" s="145">
        <f>2/2</f>
        <v>1</v>
      </c>
      <c r="O50" s="145"/>
      <c r="P50" s="145"/>
      <c r="Q50" s="145" t="s">
        <v>211</v>
      </c>
      <c r="R50" s="145"/>
      <c r="S50" s="145"/>
      <c r="T50" s="120">
        <f>9/9</f>
        <v>1</v>
      </c>
      <c r="U50" s="26" t="s">
        <v>196</v>
      </c>
      <c r="V50" s="13">
        <f t="shared" si="0"/>
        <v>46</v>
      </c>
      <c r="W50" s="82" t="s">
        <v>399</v>
      </c>
      <c r="X50" s="91" t="s">
        <v>300</v>
      </c>
    </row>
    <row r="51" spans="1:24" ht="123.75" customHeight="1" x14ac:dyDescent="0.25">
      <c r="A51" s="14">
        <v>47</v>
      </c>
      <c r="B51" s="76" t="s">
        <v>54</v>
      </c>
      <c r="C51" s="76" t="s">
        <v>265</v>
      </c>
      <c r="D51" s="73" t="s">
        <v>201</v>
      </c>
      <c r="E51" s="1" t="s">
        <v>58</v>
      </c>
      <c r="F51" s="1" t="s">
        <v>124</v>
      </c>
      <c r="G51" s="10" t="s">
        <v>158</v>
      </c>
      <c r="H51" s="151">
        <f>1/1</f>
        <v>1</v>
      </c>
      <c r="I51" s="145"/>
      <c r="J51" s="145"/>
      <c r="K51" s="145">
        <f>4/4</f>
        <v>1</v>
      </c>
      <c r="L51" s="145"/>
      <c r="M51" s="145"/>
      <c r="N51" s="145">
        <f>3/3</f>
        <v>1</v>
      </c>
      <c r="O51" s="145"/>
      <c r="P51" s="145"/>
      <c r="Q51" s="145" t="s">
        <v>211</v>
      </c>
      <c r="R51" s="145"/>
      <c r="S51" s="145"/>
      <c r="T51" s="120">
        <f>8/8</f>
        <v>1</v>
      </c>
      <c r="U51" s="26" t="s">
        <v>196</v>
      </c>
      <c r="V51" s="13">
        <f t="shared" si="0"/>
        <v>47</v>
      </c>
      <c r="W51" s="82" t="s">
        <v>400</v>
      </c>
      <c r="X51" s="91" t="s">
        <v>301</v>
      </c>
    </row>
    <row r="52" spans="1:24" ht="123" customHeight="1" x14ac:dyDescent="0.25">
      <c r="A52" s="14">
        <v>48</v>
      </c>
      <c r="B52" s="76" t="s">
        <v>54</v>
      </c>
      <c r="C52" s="76" t="s">
        <v>266</v>
      </c>
      <c r="D52" s="73" t="s">
        <v>201</v>
      </c>
      <c r="E52" s="1" t="s">
        <v>101</v>
      </c>
      <c r="F52" s="1" t="s">
        <v>125</v>
      </c>
      <c r="G52" s="10" t="s">
        <v>159</v>
      </c>
      <c r="H52" s="151">
        <f>3/3</f>
        <v>1</v>
      </c>
      <c r="I52" s="145"/>
      <c r="J52" s="145"/>
      <c r="K52" s="145">
        <f>7/7</f>
        <v>1</v>
      </c>
      <c r="L52" s="145"/>
      <c r="M52" s="145"/>
      <c r="N52" s="145">
        <f>3/3</f>
        <v>1</v>
      </c>
      <c r="O52" s="145"/>
      <c r="P52" s="145"/>
      <c r="Q52" s="145">
        <f>0/1</f>
        <v>0</v>
      </c>
      <c r="R52" s="145"/>
      <c r="S52" s="145"/>
      <c r="T52" s="120">
        <f>13/14</f>
        <v>0.9285714285714286</v>
      </c>
      <c r="U52" s="26" t="s">
        <v>196</v>
      </c>
      <c r="V52" s="13">
        <f t="shared" si="0"/>
        <v>48</v>
      </c>
      <c r="W52" s="82" t="s">
        <v>401</v>
      </c>
      <c r="X52" s="91" t="s">
        <v>302</v>
      </c>
    </row>
    <row r="53" spans="1:24" ht="240.75" customHeight="1" x14ac:dyDescent="0.25">
      <c r="A53" s="14">
        <v>49</v>
      </c>
      <c r="B53" s="76" t="s">
        <v>73</v>
      </c>
      <c r="C53" s="78" t="s">
        <v>267</v>
      </c>
      <c r="D53" s="73" t="s">
        <v>203</v>
      </c>
      <c r="E53" s="1" t="s">
        <v>102</v>
      </c>
      <c r="F53" s="1" t="s">
        <v>126</v>
      </c>
      <c r="G53" s="10" t="s">
        <v>160</v>
      </c>
      <c r="H53" s="71">
        <f>17/26</f>
        <v>0.65384615384615385</v>
      </c>
      <c r="I53" s="69">
        <f>42/49</f>
        <v>0.8571428571428571</v>
      </c>
      <c r="J53" s="69">
        <f>57/46</f>
        <v>1.2391304347826086</v>
      </c>
      <c r="K53" s="69">
        <f>31/39</f>
        <v>0.79487179487179482</v>
      </c>
      <c r="L53" s="69">
        <f>34/27</f>
        <v>1.2592592592592593</v>
      </c>
      <c r="M53" s="69">
        <f>26/38</f>
        <v>0.68421052631578949</v>
      </c>
      <c r="N53" s="69">
        <f>33/37</f>
        <v>0.89189189189189189</v>
      </c>
      <c r="O53" s="69">
        <f>46/63</f>
        <v>0.73015873015873012</v>
      </c>
      <c r="P53" s="69">
        <f>54/48</f>
        <v>1.125</v>
      </c>
      <c r="Q53" s="94">
        <f>55/49</f>
        <v>1.1224489795918366</v>
      </c>
      <c r="R53" s="94">
        <f>34/34</f>
        <v>1</v>
      </c>
      <c r="S53" s="108">
        <f>27/16</f>
        <v>1.6875</v>
      </c>
      <c r="T53" s="128">
        <f>456/472</f>
        <v>0.96610169491525422</v>
      </c>
      <c r="U53" s="26" t="s">
        <v>197</v>
      </c>
      <c r="V53" s="13">
        <f t="shared" si="0"/>
        <v>49</v>
      </c>
      <c r="W53" s="82" t="s">
        <v>394</v>
      </c>
      <c r="X53" s="90" t="s">
        <v>303</v>
      </c>
    </row>
    <row r="54" spans="1:24" ht="131.25" customHeight="1" x14ac:dyDescent="0.25">
      <c r="A54" s="14">
        <v>50</v>
      </c>
      <c r="B54" s="76" t="s">
        <v>63</v>
      </c>
      <c r="C54" s="76" t="s">
        <v>268</v>
      </c>
      <c r="D54" s="73" t="s">
        <v>201</v>
      </c>
      <c r="E54" s="1" t="s">
        <v>103</v>
      </c>
      <c r="F54" s="1" t="s">
        <v>127</v>
      </c>
      <c r="G54" s="10" t="s">
        <v>161</v>
      </c>
      <c r="H54" s="151">
        <f>45/96</f>
        <v>0.46875</v>
      </c>
      <c r="I54" s="145"/>
      <c r="J54" s="145"/>
      <c r="K54" s="145"/>
      <c r="L54" s="145">
        <f>59/121</f>
        <v>0.48760330578512395</v>
      </c>
      <c r="M54" s="145"/>
      <c r="N54" s="145"/>
      <c r="O54" s="145"/>
      <c r="P54" s="146">
        <f>110/146</f>
        <v>0.75342465753424659</v>
      </c>
      <c r="Q54" s="146"/>
      <c r="R54" s="146"/>
      <c r="S54" s="147"/>
      <c r="T54" s="119">
        <f>+P54</f>
        <v>0.75342465753424659</v>
      </c>
      <c r="U54" s="26" t="s">
        <v>198</v>
      </c>
      <c r="V54" s="14">
        <f t="shared" si="0"/>
        <v>50</v>
      </c>
      <c r="W54" s="82" t="s">
        <v>395</v>
      </c>
      <c r="X54" s="90" t="s">
        <v>348</v>
      </c>
    </row>
    <row r="55" spans="1:24" ht="136.5" customHeight="1" x14ac:dyDescent="0.25">
      <c r="A55" s="14">
        <v>51</v>
      </c>
      <c r="B55" s="76" t="s">
        <v>63</v>
      </c>
      <c r="C55" s="76" t="s">
        <v>269</v>
      </c>
      <c r="D55" s="73" t="s">
        <v>201</v>
      </c>
      <c r="E55" s="1" t="s">
        <v>104</v>
      </c>
      <c r="F55" s="1" t="s">
        <v>128</v>
      </c>
      <c r="G55" s="10" t="s">
        <v>162</v>
      </c>
      <c r="H55" s="151">
        <f>19/19</f>
        <v>1</v>
      </c>
      <c r="I55" s="145"/>
      <c r="J55" s="145"/>
      <c r="K55" s="145">
        <f>16/20</f>
        <v>0.8</v>
      </c>
      <c r="L55" s="145"/>
      <c r="M55" s="145"/>
      <c r="N55" s="145">
        <f>50/58</f>
        <v>0.86206896551724133</v>
      </c>
      <c r="O55" s="145"/>
      <c r="P55" s="145"/>
      <c r="Q55" s="145">
        <f>80/80</f>
        <v>1</v>
      </c>
      <c r="R55" s="145"/>
      <c r="S55" s="148"/>
      <c r="T55" s="120">
        <f>+Q55</f>
        <v>1</v>
      </c>
      <c r="U55" s="26" t="s">
        <v>199</v>
      </c>
      <c r="V55" s="14">
        <f t="shared" si="0"/>
        <v>51</v>
      </c>
      <c r="W55" s="82" t="s">
        <v>396</v>
      </c>
      <c r="X55" s="90" t="s">
        <v>304</v>
      </c>
    </row>
    <row r="56" spans="1:24" ht="129" customHeight="1" thickBot="1" x14ac:dyDescent="0.3">
      <c r="A56" s="15">
        <v>52</v>
      </c>
      <c r="B56" s="77" t="s">
        <v>63</v>
      </c>
      <c r="C56" s="77" t="s">
        <v>270</v>
      </c>
      <c r="D56" s="17" t="s">
        <v>201</v>
      </c>
      <c r="E56" s="18" t="s">
        <v>105</v>
      </c>
      <c r="F56" s="18" t="s">
        <v>129</v>
      </c>
      <c r="G56" s="22" t="s">
        <v>163</v>
      </c>
      <c r="H56" s="152">
        <f>40/63</f>
        <v>0.63492063492063489</v>
      </c>
      <c r="I56" s="149"/>
      <c r="J56" s="149"/>
      <c r="K56" s="149"/>
      <c r="L56" s="149">
        <f>54/63</f>
        <v>0.8571428571428571</v>
      </c>
      <c r="M56" s="149"/>
      <c r="N56" s="149"/>
      <c r="O56" s="149"/>
      <c r="P56" s="149">
        <f>61/70</f>
        <v>0.87142857142857144</v>
      </c>
      <c r="Q56" s="149"/>
      <c r="R56" s="149"/>
      <c r="S56" s="178"/>
      <c r="T56" s="129">
        <f>+P56</f>
        <v>0.87142857142857144</v>
      </c>
      <c r="U56" s="101" t="s">
        <v>200</v>
      </c>
      <c r="V56" s="15">
        <f t="shared" si="0"/>
        <v>52</v>
      </c>
      <c r="W56" s="88" t="s">
        <v>397</v>
      </c>
      <c r="X56" s="92" t="s">
        <v>349</v>
      </c>
    </row>
  </sheetData>
  <autoFilter ref="A4:X56"/>
  <mergeCells count="150">
    <mergeCell ref="P54:S54"/>
    <mergeCell ref="Q55:S55"/>
    <mergeCell ref="P56:S56"/>
    <mergeCell ref="N49:P49"/>
    <mergeCell ref="N50:P50"/>
    <mergeCell ref="N51:P51"/>
    <mergeCell ref="N52:P52"/>
    <mergeCell ref="N5:P5"/>
    <mergeCell ref="N8:P8"/>
    <mergeCell ref="N19:P19"/>
    <mergeCell ref="N20:S20"/>
    <mergeCell ref="N21:P21"/>
    <mergeCell ref="N22:P22"/>
    <mergeCell ref="N23:P23"/>
    <mergeCell ref="N30:P30"/>
    <mergeCell ref="N31:P31"/>
    <mergeCell ref="N25:P25"/>
    <mergeCell ref="N26:P26"/>
    <mergeCell ref="N27:P27"/>
    <mergeCell ref="N28:P28"/>
    <mergeCell ref="N29:P29"/>
    <mergeCell ref="N12:P12"/>
    <mergeCell ref="N13:P13"/>
    <mergeCell ref="N24:P24"/>
    <mergeCell ref="W3:W4"/>
    <mergeCell ref="H3:T3"/>
    <mergeCell ref="V1:X1"/>
    <mergeCell ref="X3:X4"/>
    <mergeCell ref="H48:J48"/>
    <mergeCell ref="K26:M26"/>
    <mergeCell ref="K27:M27"/>
    <mergeCell ref="K28:M28"/>
    <mergeCell ref="K29:M29"/>
    <mergeCell ref="K30:M30"/>
    <mergeCell ref="H5:J5"/>
    <mergeCell ref="K5:M5"/>
    <mergeCell ref="H6:J6"/>
    <mergeCell ref="K6:M6"/>
    <mergeCell ref="H7:J7"/>
    <mergeCell ref="K7:M7"/>
    <mergeCell ref="H21:J21"/>
    <mergeCell ref="H22:J22"/>
    <mergeCell ref="H23:J23"/>
    <mergeCell ref="H31:J31"/>
    <mergeCell ref="H34:J34"/>
    <mergeCell ref="Q7:S7"/>
    <mergeCell ref="Q8:S8"/>
    <mergeCell ref="Q9:S9"/>
    <mergeCell ref="V3:V4"/>
    <mergeCell ref="B3:B4"/>
    <mergeCell ref="C3:C4"/>
    <mergeCell ref="D3:D4"/>
    <mergeCell ref="E3:E4"/>
    <mergeCell ref="F3:F4"/>
    <mergeCell ref="H8:J8"/>
    <mergeCell ref="K8:M8"/>
    <mergeCell ref="H9:J9"/>
    <mergeCell ref="K9:M9"/>
    <mergeCell ref="Q5:S5"/>
    <mergeCell ref="Q6:S6"/>
    <mergeCell ref="H20:M20"/>
    <mergeCell ref="H35:J35"/>
    <mergeCell ref="H29:J29"/>
    <mergeCell ref="H30:J30"/>
    <mergeCell ref="G3:G4"/>
    <mergeCell ref="U3:U4"/>
    <mergeCell ref="A1:U1"/>
    <mergeCell ref="A3:A4"/>
    <mergeCell ref="H12:J12"/>
    <mergeCell ref="K12:M12"/>
    <mergeCell ref="K21:M21"/>
    <mergeCell ref="K22:M22"/>
    <mergeCell ref="H26:J26"/>
    <mergeCell ref="K24:M24"/>
    <mergeCell ref="K23:M23"/>
    <mergeCell ref="Q19:S19"/>
    <mergeCell ref="H13:J13"/>
    <mergeCell ref="Q34:S34"/>
    <mergeCell ref="Q35:S35"/>
    <mergeCell ref="Q23:S23"/>
    <mergeCell ref="Q25:S25"/>
    <mergeCell ref="Q12:S12"/>
    <mergeCell ref="Q13:S13"/>
    <mergeCell ref="Q21:S21"/>
    <mergeCell ref="K39:M39"/>
    <mergeCell ref="K44:M44"/>
    <mergeCell ref="K48:M48"/>
    <mergeCell ref="K49:M49"/>
    <mergeCell ref="K13:M13"/>
    <mergeCell ref="K50:M50"/>
    <mergeCell ref="K51:M51"/>
    <mergeCell ref="K52:M52"/>
    <mergeCell ref="H50:J50"/>
    <mergeCell ref="H24:J24"/>
    <mergeCell ref="H36:J36"/>
    <mergeCell ref="K38:M38"/>
    <mergeCell ref="H27:J27"/>
    <mergeCell ref="H28:J28"/>
    <mergeCell ref="H49:J49"/>
    <mergeCell ref="K25:M25"/>
    <mergeCell ref="H25:J25"/>
    <mergeCell ref="H39:J39"/>
    <mergeCell ref="H44:J44"/>
    <mergeCell ref="H51:J51"/>
    <mergeCell ref="H52:J52"/>
    <mergeCell ref="H37:J37"/>
    <mergeCell ref="H19:J19"/>
    <mergeCell ref="K19:M19"/>
    <mergeCell ref="L56:O56"/>
    <mergeCell ref="N6:P6"/>
    <mergeCell ref="N7:P7"/>
    <mergeCell ref="N9:P9"/>
    <mergeCell ref="N39:P39"/>
    <mergeCell ref="N44:P44"/>
    <mergeCell ref="N48:P48"/>
    <mergeCell ref="L54:O54"/>
    <mergeCell ref="N55:P55"/>
    <mergeCell ref="N34:P34"/>
    <mergeCell ref="N35:P35"/>
    <mergeCell ref="N36:P36"/>
    <mergeCell ref="N37:P37"/>
    <mergeCell ref="N38:P38"/>
    <mergeCell ref="K55:M55"/>
    <mergeCell ref="K31:M31"/>
    <mergeCell ref="K34:M34"/>
    <mergeCell ref="K35:M35"/>
    <mergeCell ref="K36:M36"/>
    <mergeCell ref="K37:M37"/>
    <mergeCell ref="H54:K54"/>
    <mergeCell ref="H55:J55"/>
    <mergeCell ref="H56:K56"/>
    <mergeCell ref="H38:J38"/>
    <mergeCell ref="Q22:S22"/>
    <mergeCell ref="Q24:S24"/>
    <mergeCell ref="Q26:S26"/>
    <mergeCell ref="Q27:S27"/>
    <mergeCell ref="Q28:S28"/>
    <mergeCell ref="Q29:S29"/>
    <mergeCell ref="Q30:S30"/>
    <mergeCell ref="Q31:S31"/>
    <mergeCell ref="Q49:S49"/>
    <mergeCell ref="Q50:S50"/>
    <mergeCell ref="Q51:S51"/>
    <mergeCell ref="Q52:S52"/>
    <mergeCell ref="Q36:S36"/>
    <mergeCell ref="Q37:S37"/>
    <mergeCell ref="Q38:S38"/>
    <mergeCell ref="Q39:S39"/>
    <mergeCell ref="Q48:S48"/>
    <mergeCell ref="Q44:S44"/>
  </mergeCells>
  <printOptions horizontalCentered="1"/>
  <pageMargins left="0.15748031496062992" right="0.15748031496062992" top="0.27559055118110237" bottom="0.23622047244094491" header="0.15748031496062992" footer="0.15748031496062992"/>
  <pageSetup scale="60" pageOrder="overThenDown" orientation="landscape" horizontalDpi="4294967294"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95" zoomScaleNormal="95" zoomScaleSheetLayoutView="80" workbookViewId="0">
      <selection activeCell="G1" sqref="G1"/>
    </sheetView>
  </sheetViews>
  <sheetFormatPr baseColWidth="10" defaultColWidth="0" defaultRowHeight="15" zeroHeight="1" x14ac:dyDescent="0.25"/>
  <cols>
    <col min="1" max="1" width="39.85546875" style="134" customWidth="1"/>
    <col min="2" max="4" width="13" style="134" customWidth="1"/>
    <col min="5" max="5" width="14.7109375" style="134" customWidth="1"/>
    <col min="6" max="6" width="17.85546875" style="134" customWidth="1"/>
    <col min="7" max="8" width="11.42578125" style="134" customWidth="1"/>
    <col min="9" max="9" width="24.5703125" style="134" customWidth="1"/>
    <col min="10" max="10" width="15.85546875" style="134" customWidth="1"/>
    <col min="11" max="11" width="11.7109375" style="134" customWidth="1"/>
    <col min="12" max="12" width="2.7109375" style="134" customWidth="1"/>
    <col min="13" max="13" width="12.28515625" style="134" customWidth="1"/>
    <col min="14" max="14" width="14.7109375" style="134" customWidth="1"/>
    <col min="15" max="16" width="11.42578125" style="134" customWidth="1"/>
    <col min="17" max="17" width="0" style="134" hidden="1" customWidth="1"/>
    <col min="18" max="16384" width="11.42578125" style="134" hidden="1"/>
  </cols>
  <sheetData>
    <row r="1" spans="1:17" ht="30.75" thickBot="1" x14ac:dyDescent="0.3">
      <c r="A1"/>
      <c r="B1" s="29" t="s">
        <v>331</v>
      </c>
      <c r="C1" s="30" t="s">
        <v>332</v>
      </c>
      <c r="D1" s="31" t="s">
        <v>333</v>
      </c>
      <c r="E1" s="32" t="s">
        <v>334</v>
      </c>
      <c r="F1" s="33" t="s">
        <v>335</v>
      </c>
      <c r="I1" s="34" t="s">
        <v>336</v>
      </c>
      <c r="J1" s="35" t="s">
        <v>337</v>
      </c>
      <c r="K1" s="36" t="s">
        <v>338</v>
      </c>
      <c r="M1" s="37" t="s">
        <v>339</v>
      </c>
      <c r="N1" s="38" t="s">
        <v>340</v>
      </c>
      <c r="O1" s="138"/>
      <c r="P1" s="138"/>
      <c r="Q1" s="138"/>
    </row>
    <row r="2" spans="1:17" s="138" customFormat="1" x14ac:dyDescent="0.25">
      <c r="A2" s="39" t="s">
        <v>20</v>
      </c>
      <c r="B2" s="40">
        <v>0</v>
      </c>
      <c r="C2" s="41">
        <v>0</v>
      </c>
      <c r="D2" s="41">
        <v>0</v>
      </c>
      <c r="E2" s="41">
        <v>2</v>
      </c>
      <c r="F2" s="42">
        <v>3</v>
      </c>
      <c r="G2" s="137">
        <f t="shared" ref="G2:G16" si="0">+SUM(B2:F2)</f>
        <v>5</v>
      </c>
      <c r="I2" s="43" t="s">
        <v>331</v>
      </c>
      <c r="J2" s="44">
        <f>+B17</f>
        <v>0</v>
      </c>
      <c r="K2" s="45">
        <f>+J2/$J$7</f>
        <v>0</v>
      </c>
      <c r="M2" s="44">
        <v>0</v>
      </c>
      <c r="N2" s="46">
        <f>+M2*J2</f>
        <v>0</v>
      </c>
      <c r="O2" s="134"/>
      <c r="P2" s="134"/>
      <c r="Q2" s="134"/>
    </row>
    <row r="3" spans="1:17" x14ac:dyDescent="0.25">
      <c r="A3" s="47" t="s">
        <v>65</v>
      </c>
      <c r="B3" s="48">
        <v>0</v>
      </c>
      <c r="C3" s="49">
        <v>0</v>
      </c>
      <c r="D3" s="49">
        <v>0</v>
      </c>
      <c r="E3" s="49">
        <v>0</v>
      </c>
      <c r="F3" s="50">
        <v>2</v>
      </c>
      <c r="G3" s="137">
        <f t="shared" si="0"/>
        <v>2</v>
      </c>
      <c r="I3" s="51" t="s">
        <v>341</v>
      </c>
      <c r="J3" s="52">
        <f>+C17</f>
        <v>0</v>
      </c>
      <c r="K3" s="53">
        <f>+J3/$J$7</f>
        <v>0</v>
      </c>
      <c r="M3" s="52">
        <v>1</v>
      </c>
      <c r="N3" s="54">
        <f>+M3*J3</f>
        <v>0</v>
      </c>
    </row>
    <row r="4" spans="1:17" x14ac:dyDescent="0.25">
      <c r="A4" s="47" t="s">
        <v>66</v>
      </c>
      <c r="B4" s="66">
        <v>0</v>
      </c>
      <c r="C4" s="65">
        <v>0</v>
      </c>
      <c r="D4" s="65">
        <v>0</v>
      </c>
      <c r="E4" s="65">
        <v>0</v>
      </c>
      <c r="F4" s="64">
        <v>2</v>
      </c>
      <c r="G4" s="137">
        <f t="shared" si="0"/>
        <v>2</v>
      </c>
      <c r="I4" s="55" t="s">
        <v>342</v>
      </c>
      <c r="J4" s="52">
        <f>+D17</f>
        <v>0</v>
      </c>
      <c r="K4" s="53">
        <f>+J4/$J$7</f>
        <v>0</v>
      </c>
      <c r="M4" s="52">
        <v>2</v>
      </c>
      <c r="N4" s="54">
        <f>+M4*J4</f>
        <v>0</v>
      </c>
    </row>
    <row r="5" spans="1:17" x14ac:dyDescent="0.25">
      <c r="A5" s="47" t="s">
        <v>67</v>
      </c>
      <c r="B5" s="48">
        <v>0</v>
      </c>
      <c r="C5" s="49">
        <v>0</v>
      </c>
      <c r="D5" s="49">
        <v>0</v>
      </c>
      <c r="E5" s="49">
        <v>2</v>
      </c>
      <c r="F5" s="50">
        <v>5</v>
      </c>
      <c r="G5" s="137">
        <f t="shared" si="0"/>
        <v>7</v>
      </c>
      <c r="I5" s="56" t="s">
        <v>343</v>
      </c>
      <c r="J5" s="52">
        <f>+E17</f>
        <v>10</v>
      </c>
      <c r="K5" s="53">
        <f>+J5/$J$7</f>
        <v>0.19230769230769232</v>
      </c>
      <c r="M5" s="66">
        <v>3</v>
      </c>
      <c r="N5" s="54">
        <f>+M5*J5</f>
        <v>30</v>
      </c>
    </row>
    <row r="6" spans="1:17" ht="15.75" thickBot="1" x14ac:dyDescent="0.3">
      <c r="A6" s="47" t="s">
        <v>68</v>
      </c>
      <c r="B6" s="48">
        <v>0</v>
      </c>
      <c r="C6" s="49">
        <v>0</v>
      </c>
      <c r="D6" s="49">
        <v>0</v>
      </c>
      <c r="E6" s="49">
        <v>0</v>
      </c>
      <c r="F6" s="50">
        <v>2</v>
      </c>
      <c r="G6" s="137">
        <f t="shared" si="0"/>
        <v>2</v>
      </c>
      <c r="I6" s="57" t="s">
        <v>344</v>
      </c>
      <c r="J6" s="58">
        <f>+F17</f>
        <v>42</v>
      </c>
      <c r="K6" s="59">
        <f>+J6/$J$7</f>
        <v>0.80769230769230771</v>
      </c>
      <c r="M6" s="58">
        <v>4</v>
      </c>
      <c r="N6" s="60">
        <f>+M6*J6</f>
        <v>168</v>
      </c>
    </row>
    <row r="7" spans="1:17" ht="15.75" thickBot="1" x14ac:dyDescent="0.3">
      <c r="A7" s="47" t="s">
        <v>40</v>
      </c>
      <c r="B7" s="66">
        <v>0</v>
      </c>
      <c r="C7" s="49">
        <v>0</v>
      </c>
      <c r="D7" s="49">
        <v>0</v>
      </c>
      <c r="E7" s="49">
        <v>0</v>
      </c>
      <c r="F7" s="50">
        <v>4</v>
      </c>
      <c r="G7" s="137">
        <f t="shared" si="0"/>
        <v>4</v>
      </c>
      <c r="J7" s="142">
        <f>+SUM(J2:J6)</f>
        <v>52</v>
      </c>
      <c r="K7" s="139"/>
      <c r="N7" s="142"/>
    </row>
    <row r="8" spans="1:17" ht="15.75" thickBot="1" x14ac:dyDescent="0.3">
      <c r="A8" s="47" t="s">
        <v>59</v>
      </c>
      <c r="B8" s="48">
        <v>0</v>
      </c>
      <c r="C8" s="49">
        <v>0</v>
      </c>
      <c r="D8" s="49">
        <v>0</v>
      </c>
      <c r="E8" s="49">
        <v>1</v>
      </c>
      <c r="F8" s="50">
        <v>4</v>
      </c>
      <c r="G8" s="137">
        <f t="shared" si="0"/>
        <v>5</v>
      </c>
      <c r="K8" s="140" t="s">
        <v>345</v>
      </c>
      <c r="L8" s="140"/>
      <c r="M8" s="141"/>
      <c r="N8" s="130">
        <f>((M2*J2)+(M3*J3)+(M4*J4)+(M5*J5)+(M6*J6))/(J7*M6)</f>
        <v>0.95192307692307687</v>
      </c>
      <c r="P8" s="139"/>
    </row>
    <row r="9" spans="1:17" ht="30" x14ac:dyDescent="0.25">
      <c r="A9" s="47" t="s">
        <v>69</v>
      </c>
      <c r="B9" s="48">
        <v>0</v>
      </c>
      <c r="C9" s="49">
        <v>0</v>
      </c>
      <c r="D9" s="49">
        <v>0</v>
      </c>
      <c r="E9" s="49">
        <v>0</v>
      </c>
      <c r="F9" s="50">
        <v>2</v>
      </c>
      <c r="G9" s="137">
        <f t="shared" si="0"/>
        <v>2</v>
      </c>
    </row>
    <row r="10" spans="1:17" ht="30" x14ac:dyDescent="0.25">
      <c r="A10" s="47" t="s">
        <v>70</v>
      </c>
      <c r="B10" s="48">
        <v>0</v>
      </c>
      <c r="C10" s="49">
        <v>0</v>
      </c>
      <c r="D10" s="49">
        <v>0</v>
      </c>
      <c r="E10" s="49">
        <v>1</v>
      </c>
      <c r="F10" s="50">
        <v>3</v>
      </c>
      <c r="G10" s="137">
        <f t="shared" si="0"/>
        <v>4</v>
      </c>
    </row>
    <row r="11" spans="1:17" ht="30" x14ac:dyDescent="0.25">
      <c r="A11" s="47" t="s">
        <v>71</v>
      </c>
      <c r="B11" s="48">
        <v>0</v>
      </c>
      <c r="C11" s="49">
        <v>0</v>
      </c>
      <c r="D11" s="49">
        <v>0</v>
      </c>
      <c r="E11" s="49">
        <v>1</v>
      </c>
      <c r="F11" s="50">
        <v>1</v>
      </c>
      <c r="G11" s="137">
        <f t="shared" si="0"/>
        <v>2</v>
      </c>
    </row>
    <row r="12" spans="1:17" ht="30" x14ac:dyDescent="0.25">
      <c r="A12" s="47" t="s">
        <v>72</v>
      </c>
      <c r="B12" s="48">
        <v>0</v>
      </c>
      <c r="C12" s="49">
        <v>0</v>
      </c>
      <c r="D12" s="49">
        <v>0</v>
      </c>
      <c r="E12" s="49">
        <v>0</v>
      </c>
      <c r="F12" s="50">
        <v>1</v>
      </c>
      <c r="G12" s="137">
        <f t="shared" si="0"/>
        <v>1</v>
      </c>
    </row>
    <row r="13" spans="1:17" x14ac:dyDescent="0.25">
      <c r="A13" s="47" t="s">
        <v>42</v>
      </c>
      <c r="B13" s="66">
        <v>0</v>
      </c>
      <c r="C13" s="49">
        <v>0</v>
      </c>
      <c r="D13" s="49">
        <v>0</v>
      </c>
      <c r="E13" s="49">
        <v>1</v>
      </c>
      <c r="F13" s="50">
        <v>6</v>
      </c>
      <c r="G13" s="137">
        <f t="shared" si="0"/>
        <v>7</v>
      </c>
    </row>
    <row r="14" spans="1:17" x14ac:dyDescent="0.25">
      <c r="A14" s="47" t="s">
        <v>54</v>
      </c>
      <c r="B14" s="66">
        <v>0</v>
      </c>
      <c r="C14" s="49">
        <v>0</v>
      </c>
      <c r="D14" s="49">
        <v>0</v>
      </c>
      <c r="E14" s="49">
        <v>0</v>
      </c>
      <c r="F14" s="50">
        <v>5</v>
      </c>
      <c r="G14" s="137">
        <f t="shared" si="0"/>
        <v>5</v>
      </c>
    </row>
    <row r="15" spans="1:17" ht="30" x14ac:dyDescent="0.25">
      <c r="A15" s="47" t="s">
        <v>73</v>
      </c>
      <c r="B15" s="48">
        <v>0</v>
      </c>
      <c r="C15" s="49">
        <v>0</v>
      </c>
      <c r="D15" s="49">
        <v>0</v>
      </c>
      <c r="E15" s="49">
        <v>0</v>
      </c>
      <c r="F15" s="50">
        <v>1</v>
      </c>
      <c r="G15" s="137">
        <f t="shared" si="0"/>
        <v>1</v>
      </c>
    </row>
    <row r="16" spans="1:17" ht="15.75" thickBot="1" x14ac:dyDescent="0.3">
      <c r="A16" s="61" t="s">
        <v>63</v>
      </c>
      <c r="B16" s="74">
        <v>0</v>
      </c>
      <c r="C16" s="62">
        <v>0</v>
      </c>
      <c r="D16" s="62">
        <v>0</v>
      </c>
      <c r="E16" s="62">
        <v>2</v>
      </c>
      <c r="F16" s="63">
        <v>1</v>
      </c>
      <c r="G16" s="137">
        <f t="shared" si="0"/>
        <v>3</v>
      </c>
    </row>
    <row r="17" spans="1:7" ht="17.25" customHeight="1" x14ac:dyDescent="0.25">
      <c r="A17" s="131"/>
      <c r="B17" s="132">
        <f t="shared" ref="B17:G17" si="1">+SUM(B2:B16)</f>
        <v>0</v>
      </c>
      <c r="C17" s="132">
        <f t="shared" si="1"/>
        <v>0</v>
      </c>
      <c r="D17" s="132">
        <f t="shared" si="1"/>
        <v>0</v>
      </c>
      <c r="E17" s="132">
        <f t="shared" si="1"/>
        <v>10</v>
      </c>
      <c r="F17" s="132">
        <f t="shared" si="1"/>
        <v>42</v>
      </c>
      <c r="G17" s="133">
        <f t="shared" si="1"/>
        <v>52</v>
      </c>
    </row>
    <row r="18" spans="1:7" x14ac:dyDescent="0.25">
      <c r="B18" s="135">
        <f>+B17/$G$17</f>
        <v>0</v>
      </c>
      <c r="C18" s="135">
        <f>+C17/$G$17</f>
        <v>0</v>
      </c>
      <c r="D18" s="135">
        <f>+D17/$G$17</f>
        <v>0</v>
      </c>
      <c r="E18" s="135">
        <f>+E17/$G$17</f>
        <v>0.19230769230769232</v>
      </c>
      <c r="F18" s="135">
        <f>+F17/$G$17</f>
        <v>0.80769230769230771</v>
      </c>
    </row>
    <row r="19" spans="1:7" x14ac:dyDescent="0.25"/>
    <row r="20" spans="1:7" x14ac:dyDescent="0.25"/>
    <row r="21" spans="1:7" x14ac:dyDescent="0.25"/>
    <row r="22" spans="1:7" x14ac:dyDescent="0.25"/>
    <row r="23" spans="1:7" x14ac:dyDescent="0.25">
      <c r="E23" s="136"/>
    </row>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hidden="1" x14ac:dyDescent="0.25"/>
    <row r="34" hidden="1" x14ac:dyDescent="0.25"/>
    <row r="35" hidden="1" x14ac:dyDescent="0.25"/>
    <row r="36" hidden="1" x14ac:dyDescent="0.25"/>
    <row r="37" hidden="1" x14ac:dyDescent="0.25"/>
    <row r="38" hidden="1" x14ac:dyDescent="0.25"/>
    <row r="39" hidden="1" x14ac:dyDescent="0.25"/>
  </sheetData>
  <printOptions horizontalCentered="1"/>
  <pageMargins left="0.15748031496062992" right="0.15748031496062992" top="0.39370078740157483" bottom="0.39370078740157483" header="0.31496062992125984" footer="0.31496062992125984"/>
  <pageSetup scale="50" pageOrder="overThenDown"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 Plan de acción 2019</vt:lpstr>
      <vt:lpstr>Tablas</vt:lpstr>
      <vt:lpstr>'Reporte - Plan de acción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2020-01-31T21:15:58Z</cp:lastPrinted>
  <dcterms:created xsi:type="dcterms:W3CDTF">2019-05-15T20:53:14Z</dcterms:created>
  <dcterms:modified xsi:type="dcterms:W3CDTF">2020-02-07T16:33:39Z</dcterms:modified>
</cp:coreProperties>
</file>